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cuments/Assistant Camera/AOA/"/>
    </mc:Choice>
  </mc:AlternateContent>
  <xr:revisionPtr revIDLastSave="0" documentId="13_ncr:1_{E35A31EE-FE1C-594A-B3F7-7CFDD66A458F}" xr6:coauthVersionLast="36" xr6:coauthVersionMax="47" xr10:uidLastSave="{00000000-0000-0000-0000-000000000000}"/>
  <bookViews>
    <workbookView xWindow="12160" yWindow="460" windowWidth="29300" windowHeight="1962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Ass'!$B$35</definedName>
    <definedName name="Deb" localSheetId="3">'Tech Retour Image'!$B$35</definedName>
    <definedName name="Deb">'2nd Ass'!$B$35</definedName>
    <definedName name="Fin" localSheetId="1">'1er Ass'!$B$37</definedName>
    <definedName name="Fin" localSheetId="3">'Tech Retour Image'!$B$37</definedName>
    <definedName name="Fin">'2nd Ass'!$B$37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1" l="1"/>
  <c r="D2" i="11"/>
  <c r="H37" i="12"/>
  <c r="G37" i="12"/>
  <c r="F37" i="12"/>
  <c r="H35" i="12"/>
  <c r="G35" i="12"/>
  <c r="F35" i="12"/>
  <c r="E35" i="12"/>
  <c r="H23" i="11" l="1"/>
  <c r="B1" i="12"/>
  <c r="D2" i="1"/>
  <c r="H20" i="12"/>
  <c r="H17" i="12"/>
  <c r="H14" i="12"/>
  <c r="H11" i="12"/>
  <c r="H8" i="12"/>
  <c r="H5" i="12"/>
  <c r="H20" i="1"/>
  <c r="H17" i="1"/>
  <c r="H14" i="1"/>
  <c r="H11" i="1"/>
  <c r="H8" i="1"/>
  <c r="H23" i="1" s="1"/>
  <c r="H5" i="1"/>
  <c r="D5" i="1"/>
  <c r="H23" i="12" l="1"/>
  <c r="C9" i="12"/>
  <c r="D11" i="12"/>
  <c r="B20" i="11"/>
  <c r="E17" i="11"/>
  <c r="F24" i="11"/>
  <c r="E24" i="11"/>
  <c r="D24" i="11"/>
  <c r="C24" i="11"/>
  <c r="B24" i="11"/>
  <c r="A24" i="11"/>
  <c r="G20" i="11"/>
  <c r="G17" i="11"/>
  <c r="G11" i="11"/>
  <c r="G8" i="11"/>
  <c r="G14" i="11"/>
  <c r="C11" i="12" l="1"/>
  <c r="D6" i="12"/>
  <c r="C5" i="1" l="1"/>
  <c r="D9" i="1"/>
  <c r="D8" i="1"/>
  <c r="C9" i="1"/>
  <c r="D3" i="1"/>
  <c r="D1" i="1"/>
  <c r="G11" i="1" l="1"/>
  <c r="B24" i="1"/>
  <c r="B5" i="11" l="1"/>
  <c r="B8" i="11"/>
  <c r="B11" i="11"/>
  <c r="B14" i="11"/>
  <c r="B17" i="11"/>
  <c r="D6" i="1"/>
  <c r="B2" i="1" l="1"/>
  <c r="B1" i="1"/>
  <c r="D2" i="12"/>
  <c r="A6" i="12" s="1"/>
  <c r="D3" i="12"/>
  <c r="A9" i="12" s="1"/>
  <c r="D5" i="12"/>
  <c r="C6" i="1"/>
  <c r="D20" i="1"/>
  <c r="D21" i="12"/>
  <c r="C21" i="12"/>
  <c r="D20" i="12"/>
  <c r="C20" i="12"/>
  <c r="B20" i="12" s="1"/>
  <c r="D18" i="12"/>
  <c r="C18" i="12"/>
  <c r="D17" i="12"/>
  <c r="E24" i="12" s="1"/>
  <c r="C17" i="12"/>
  <c r="D15" i="12"/>
  <c r="C15" i="12"/>
  <c r="D14" i="12"/>
  <c r="C14" i="12"/>
  <c r="D12" i="12"/>
  <c r="C12" i="12"/>
  <c r="D9" i="12"/>
  <c r="D8" i="12"/>
  <c r="C8" i="12"/>
  <c r="C6" i="12"/>
  <c r="C5" i="12"/>
  <c r="B2" i="12"/>
  <c r="F1" i="12"/>
  <c r="D1" i="12"/>
  <c r="C21" i="1"/>
  <c r="C20" i="1"/>
  <c r="B20" i="1" s="1"/>
  <c r="D21" i="1"/>
  <c r="D18" i="1"/>
  <c r="D17" i="1"/>
  <c r="C18" i="1"/>
  <c r="C17" i="1"/>
  <c r="C15" i="1"/>
  <c r="C14" i="1"/>
  <c r="D15" i="1"/>
  <c r="D14" i="1"/>
  <c r="D11" i="1"/>
  <c r="D12" i="1"/>
  <c r="C12" i="1"/>
  <c r="C11" i="1"/>
  <c r="C8" i="1"/>
  <c r="B8" i="1" s="1"/>
  <c r="F1" i="1"/>
  <c r="A6" i="1"/>
  <c r="B35" i="12"/>
  <c r="H27" i="12"/>
  <c r="G27" i="12"/>
  <c r="F27" i="12"/>
  <c r="H37" i="11"/>
  <c r="B35" i="11"/>
  <c r="F18" i="11" s="1"/>
  <c r="F19" i="11" s="1"/>
  <c r="H27" i="11"/>
  <c r="G27" i="11"/>
  <c r="G37" i="11" s="1"/>
  <c r="F27" i="11"/>
  <c r="E35" i="11"/>
  <c r="F35" i="11" s="1"/>
  <c r="D22" i="11"/>
  <c r="C22" i="11"/>
  <c r="E20" i="11"/>
  <c r="D19" i="11"/>
  <c r="C19" i="11"/>
  <c r="E19" i="11" s="1"/>
  <c r="D16" i="11"/>
  <c r="C16" i="11"/>
  <c r="E16" i="11" s="1"/>
  <c r="E14" i="11"/>
  <c r="D13" i="11"/>
  <c r="C13" i="11"/>
  <c r="E13" i="11" s="1"/>
  <c r="E11" i="11"/>
  <c r="D10" i="11"/>
  <c r="C10" i="11"/>
  <c r="E10" i="11" s="1"/>
  <c r="E8" i="11"/>
  <c r="D7" i="11"/>
  <c r="C7" i="11"/>
  <c r="E7" i="11" s="1"/>
  <c r="E5" i="11"/>
  <c r="B35" i="1"/>
  <c r="E23" i="11" l="1"/>
  <c r="D24" i="1"/>
  <c r="G14" i="12"/>
  <c r="C24" i="12"/>
  <c r="A24" i="1"/>
  <c r="G8" i="1"/>
  <c r="G8" i="12"/>
  <c r="A24" i="12"/>
  <c r="G14" i="1"/>
  <c r="C24" i="1"/>
  <c r="G20" i="12"/>
  <c r="G17" i="1"/>
  <c r="E24" i="1"/>
  <c r="G20" i="1"/>
  <c r="F24" i="1"/>
  <c r="G17" i="12"/>
  <c r="D24" i="12"/>
  <c r="G11" i="12"/>
  <c r="B24" i="12"/>
  <c r="E18" i="11"/>
  <c r="B18" i="11" s="1"/>
  <c r="B5" i="12"/>
  <c r="B17" i="1"/>
  <c r="D10" i="12"/>
  <c r="B8" i="12"/>
  <c r="A11" i="12"/>
  <c r="A8" i="12"/>
  <c r="A14" i="12"/>
  <c r="A17" i="12"/>
  <c r="A5" i="12"/>
  <c r="B7" i="12" s="1"/>
  <c r="A20" i="12"/>
  <c r="A11" i="1"/>
  <c r="A14" i="1"/>
  <c r="A5" i="1"/>
  <c r="B7" i="1" s="1"/>
  <c r="A8" i="1"/>
  <c r="A17" i="1"/>
  <c r="A20" i="1"/>
  <c r="A9" i="1"/>
  <c r="B10" i="1" s="1"/>
  <c r="B10" i="12"/>
  <c r="A12" i="12"/>
  <c r="B17" i="12"/>
  <c r="D19" i="12"/>
  <c r="B14" i="1"/>
  <c r="B14" i="12"/>
  <c r="B11" i="1"/>
  <c r="D13" i="12"/>
  <c r="B11" i="12"/>
  <c r="E5" i="1"/>
  <c r="B5" i="1"/>
  <c r="E22" i="11"/>
  <c r="E21" i="11" s="1"/>
  <c r="B21" i="11" s="1"/>
  <c r="E20" i="1"/>
  <c r="C22" i="12"/>
  <c r="E22" i="12" s="1"/>
  <c r="E20" i="12"/>
  <c r="B23" i="11"/>
  <c r="E17" i="12"/>
  <c r="E39" i="11"/>
  <c r="E40" i="11" s="1"/>
  <c r="E11" i="1"/>
  <c r="E11" i="12"/>
  <c r="E12" i="11"/>
  <c r="E8" i="1"/>
  <c r="E14" i="1"/>
  <c r="E17" i="1"/>
  <c r="E15" i="11"/>
  <c r="B15" i="11" s="1"/>
  <c r="D16" i="12"/>
  <c r="D7" i="12"/>
  <c r="F5" i="11"/>
  <c r="F17" i="1"/>
  <c r="F17" i="11"/>
  <c r="B29" i="11" s="1"/>
  <c r="F17" i="12"/>
  <c r="B29" i="12" s="1"/>
  <c r="E14" i="12"/>
  <c r="G23" i="11"/>
  <c r="E34" i="11" s="1"/>
  <c r="G34" i="11" s="1"/>
  <c r="E8" i="12"/>
  <c r="E23" i="12" s="1"/>
  <c r="E9" i="11"/>
  <c r="B9" i="11" s="1"/>
  <c r="E6" i="11"/>
  <c r="B6" i="11" s="1"/>
  <c r="E5" i="12"/>
  <c r="F9" i="12"/>
  <c r="F10" i="12" s="1"/>
  <c r="F18" i="12"/>
  <c r="F19" i="12" s="1"/>
  <c r="F12" i="12"/>
  <c r="F13" i="12" s="1"/>
  <c r="F21" i="12"/>
  <c r="F22" i="12" s="1"/>
  <c r="F15" i="12"/>
  <c r="F16" i="12" s="1"/>
  <c r="F6" i="12"/>
  <c r="F7" i="12" s="1"/>
  <c r="F8" i="12"/>
  <c r="B26" i="12" s="1"/>
  <c r="F11" i="12"/>
  <c r="B27" i="12" s="1"/>
  <c r="F14" i="12"/>
  <c r="F20" i="12"/>
  <c r="B30" i="12" s="1"/>
  <c r="F5" i="12"/>
  <c r="C7" i="12"/>
  <c r="E7" i="12" s="1"/>
  <c r="E6" i="12" s="1"/>
  <c r="B6" i="12" s="1"/>
  <c r="C10" i="12"/>
  <c r="E10" i="12" s="1"/>
  <c r="C19" i="12"/>
  <c r="E19" i="12" s="1"/>
  <c r="D22" i="12"/>
  <c r="C13" i="12"/>
  <c r="E13" i="12" s="1"/>
  <c r="C16" i="12"/>
  <c r="E16" i="12" s="1"/>
  <c r="F24" i="12"/>
  <c r="F9" i="11"/>
  <c r="F10" i="11" s="1"/>
  <c r="F14" i="11"/>
  <c r="F21" i="11"/>
  <c r="F22" i="11" s="1"/>
  <c r="F8" i="11"/>
  <c r="B26" i="11" s="1"/>
  <c r="F15" i="11"/>
  <c r="F16" i="11" s="1"/>
  <c r="F20" i="11"/>
  <c r="B30" i="11" s="1"/>
  <c r="F12" i="11"/>
  <c r="F13" i="11" s="1"/>
  <c r="F6" i="11"/>
  <c r="F7" i="11" s="1"/>
  <c r="F11" i="11"/>
  <c r="B27" i="11" s="1"/>
  <c r="G35" i="11"/>
  <c r="H35" i="11"/>
  <c r="F37" i="11"/>
  <c r="E9" i="12" l="1"/>
  <c r="B9" i="12" s="1"/>
  <c r="E39" i="12"/>
  <c r="H39" i="12" s="1"/>
  <c r="E23" i="1"/>
  <c r="B12" i="11"/>
  <c r="E36" i="11"/>
  <c r="H22" i="11"/>
  <c r="E12" i="12"/>
  <c r="A12" i="1"/>
  <c r="B13" i="1" s="1"/>
  <c r="H39" i="11"/>
  <c r="E18" i="12"/>
  <c r="B18" i="12" s="1"/>
  <c r="F39" i="11"/>
  <c r="B13" i="12"/>
  <c r="A15" i="12"/>
  <c r="G39" i="11"/>
  <c r="H34" i="11"/>
  <c r="H16" i="11"/>
  <c r="B23" i="12"/>
  <c r="B23" i="1"/>
  <c r="E21" i="12"/>
  <c r="B21" i="12" s="1"/>
  <c r="G23" i="12"/>
  <c r="E34" i="12" s="1"/>
  <c r="H13" i="11"/>
  <c r="G23" i="1"/>
  <c r="H7" i="11"/>
  <c r="F34" i="11"/>
  <c r="B28" i="11"/>
  <c r="E15" i="12"/>
  <c r="B15" i="12" s="1"/>
  <c r="H19" i="11"/>
  <c r="H10" i="11"/>
  <c r="F23" i="12"/>
  <c r="B25" i="12"/>
  <c r="H7" i="12"/>
  <c r="H10" i="12"/>
  <c r="B28" i="12"/>
  <c r="F23" i="11"/>
  <c r="B25" i="11"/>
  <c r="E40" i="12" l="1"/>
  <c r="G39" i="12"/>
  <c r="F39" i="12"/>
  <c r="B12" i="12"/>
  <c r="E36" i="12"/>
  <c r="F36" i="11"/>
  <c r="H36" i="11"/>
  <c r="G36" i="11"/>
  <c r="H34" i="12"/>
  <c r="G34" i="12"/>
  <c r="F34" i="12"/>
  <c r="E33" i="12"/>
  <c r="A15" i="1"/>
  <c r="A18" i="1" s="1"/>
  <c r="H13" i="12"/>
  <c r="H19" i="12"/>
  <c r="E29" i="11"/>
  <c r="H29" i="11" s="1"/>
  <c r="A18" i="12"/>
  <c r="B16" i="12"/>
  <c r="H22" i="12"/>
  <c r="G22" i="11"/>
  <c r="E32" i="11" s="1"/>
  <c r="H32" i="11" s="1"/>
  <c r="H16" i="12"/>
  <c r="E28" i="11"/>
  <c r="F28" i="11" s="1"/>
  <c r="E30" i="11"/>
  <c r="G30" i="11" s="1"/>
  <c r="E31" i="11"/>
  <c r="F31" i="11" s="1"/>
  <c r="E33" i="11"/>
  <c r="F33" i="11" s="1"/>
  <c r="H36" i="12" l="1"/>
  <c r="G36" i="12"/>
  <c r="F36" i="12"/>
  <c r="B16" i="1"/>
  <c r="H33" i="12"/>
  <c r="G33" i="12"/>
  <c r="F33" i="12"/>
  <c r="G22" i="12"/>
  <c r="E32" i="12" s="1"/>
  <c r="G29" i="11"/>
  <c r="F29" i="11"/>
  <c r="E29" i="12"/>
  <c r="F29" i="12" s="1"/>
  <c r="B19" i="12"/>
  <c r="E38" i="12" s="1"/>
  <c r="F38" i="12" s="1"/>
  <c r="A21" i="12"/>
  <c r="B22" i="12" s="1"/>
  <c r="B19" i="1"/>
  <c r="A21" i="1"/>
  <c r="B22" i="1" s="1"/>
  <c r="F32" i="11"/>
  <c r="G32" i="11"/>
  <c r="E31" i="12"/>
  <c r="G31" i="12" s="1"/>
  <c r="E28" i="12"/>
  <c r="H28" i="12" s="1"/>
  <c r="E30" i="12"/>
  <c r="G30" i="12" s="1"/>
  <c r="H31" i="11"/>
  <c r="H28" i="11"/>
  <c r="G28" i="11"/>
  <c r="G31" i="11"/>
  <c r="F30" i="11"/>
  <c r="H30" i="11"/>
  <c r="G33" i="11"/>
  <c r="H33" i="11"/>
  <c r="H32" i="12" l="1"/>
  <c r="G32" i="12"/>
  <c r="G40" i="12" s="1"/>
  <c r="F32" i="12"/>
  <c r="F31" i="12"/>
  <c r="G29" i="12"/>
  <c r="H29" i="12"/>
  <c r="H31" i="12"/>
  <c r="F28" i="12"/>
  <c r="G28" i="12"/>
  <c r="H30" i="12"/>
  <c r="F30" i="12"/>
  <c r="G40" i="11"/>
  <c r="H40" i="11"/>
  <c r="H40" i="12" l="1"/>
  <c r="F40" i="12"/>
  <c r="D22" i="1"/>
  <c r="D19" i="1"/>
  <c r="D16" i="1"/>
  <c r="D13" i="1"/>
  <c r="D10" i="1"/>
  <c r="D7" i="1"/>
  <c r="C22" i="1" l="1"/>
  <c r="C19" i="1"/>
  <c r="E19" i="1" s="1"/>
  <c r="E18" i="1" s="1"/>
  <c r="B18" i="1" s="1"/>
  <c r="C16" i="1"/>
  <c r="E16" i="1" s="1"/>
  <c r="E15" i="1" s="1"/>
  <c r="B15" i="1" s="1"/>
  <c r="C13" i="1"/>
  <c r="E13" i="1" s="1"/>
  <c r="E12" i="1" s="1"/>
  <c r="C10" i="1"/>
  <c r="E10" i="1" s="1"/>
  <c r="E9" i="1" s="1"/>
  <c r="B9" i="1" s="1"/>
  <c r="C7" i="1"/>
  <c r="E7" i="1" s="1"/>
  <c r="E6" i="1" s="1"/>
  <c r="B6" i="1" s="1"/>
  <c r="B12" i="1" l="1"/>
  <c r="E22" i="1"/>
  <c r="E21" i="1" s="1"/>
  <c r="B21" i="1" s="1"/>
  <c r="E39" i="1"/>
  <c r="H39" i="1" s="1"/>
  <c r="E36" i="1" l="1"/>
  <c r="H36" i="1"/>
  <c r="G36" i="1"/>
  <c r="F36" i="1"/>
  <c r="H16" i="1"/>
  <c r="H10" i="1"/>
  <c r="H7" i="1"/>
  <c r="H22" i="1"/>
  <c r="H13" i="1"/>
  <c r="E40" i="1"/>
  <c r="H19" i="1"/>
  <c r="G22" i="1" l="1"/>
  <c r="E38" i="1" l="1"/>
  <c r="F20" i="1"/>
  <c r="H27" i="1"/>
  <c r="E34" i="1"/>
  <c r="G27" i="1"/>
  <c r="E35" i="1"/>
  <c r="F27" i="1"/>
  <c r="F39" i="1" s="1"/>
  <c r="F35" i="1" l="1"/>
  <c r="H37" i="1"/>
  <c r="G37" i="1"/>
  <c r="G35" i="1"/>
  <c r="H35" i="1"/>
  <c r="G39" i="1"/>
  <c r="F11" i="1"/>
  <c r="B27" i="1" s="1"/>
  <c r="F14" i="1"/>
  <c r="B28" i="1" s="1"/>
  <c r="F8" i="1"/>
  <c r="B26" i="1" s="1"/>
  <c r="F5" i="1"/>
  <c r="F38" i="1"/>
  <c r="F37" i="1"/>
  <c r="F15" i="1"/>
  <c r="F16" i="1" s="1"/>
  <c r="F12" i="1"/>
  <c r="F13" i="1" s="1"/>
  <c r="B30" i="1"/>
  <c r="F18" i="1"/>
  <c r="F19" i="1" s="1"/>
  <c r="F9" i="1"/>
  <c r="F10" i="1" s="1"/>
  <c r="F21" i="1"/>
  <c r="F22" i="1" s="1"/>
  <c r="F6" i="1"/>
  <c r="F7" i="1" s="1"/>
  <c r="H34" i="1"/>
  <c r="G34" i="1"/>
  <c r="F34" i="1"/>
  <c r="B29" i="1" l="1"/>
  <c r="F23" i="1"/>
  <c r="E32" i="1"/>
  <c r="F32" i="1" s="1"/>
  <c r="E29" i="1"/>
  <c r="H29" i="1" s="1"/>
  <c r="E30" i="1"/>
  <c r="H30" i="1" s="1"/>
  <c r="B25" i="1"/>
  <c r="F30" i="1" l="1"/>
  <c r="G29" i="1"/>
  <c r="G32" i="1"/>
  <c r="H32" i="1"/>
  <c r="E28" i="1"/>
  <c r="E31" i="1"/>
  <c r="G30" i="1"/>
  <c r="F29" i="1"/>
  <c r="E33" i="1"/>
  <c r="H28" i="1" l="1"/>
  <c r="F28" i="1"/>
  <c r="G28" i="1"/>
  <c r="F31" i="1"/>
  <c r="G31" i="1"/>
  <c r="H31" i="1"/>
  <c r="G33" i="1"/>
  <c r="F33" i="1"/>
  <c r="H33" i="1"/>
  <c r="F40" i="1" l="1"/>
  <c r="G40" i="1"/>
  <c r="H40" i="1"/>
  <c r="A6" i="11" l="1"/>
  <c r="A11" i="11" s="1"/>
  <c r="A9" i="11" l="1"/>
  <c r="A12" i="11" s="1"/>
  <c r="B13" i="11" s="1"/>
  <c r="A5" i="11"/>
  <c r="B7" i="11" s="1"/>
  <c r="A17" i="11"/>
  <c r="A20" i="11"/>
  <c r="A14" i="11"/>
  <c r="A8" i="11"/>
  <c r="B10" i="11" l="1"/>
  <c r="A15" i="11"/>
  <c r="B16" i="11" s="1"/>
  <c r="A18" i="11" l="1"/>
  <c r="B19" i="11" s="1"/>
  <c r="A21" i="11" l="1"/>
  <c r="B22" i="11" s="1"/>
  <c r="E38" i="11" s="1"/>
  <c r="F38" i="11" s="1"/>
  <c r="F40" i="11" s="1"/>
</calcChain>
</file>

<file path=xl/sharedStrings.xml><?xml version="1.0" encoding="utf-8"?>
<sst xmlns="http://schemas.openxmlformats.org/spreadsheetml/2006/main" count="152" uniqueCount="70">
  <si>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</si>
  <si>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</si>
  <si>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</si>
  <si>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</si>
  <si>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</si>
  <si>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</si>
  <si>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</si>
  <si>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</si>
  <si>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</si>
  <si>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</si>
  <si>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</si>
  <si>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</si>
  <si>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</si>
  <si>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</si>
  <si>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</si>
  <si>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</si>
  <si>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</si>
  <si>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</si>
  <si>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</si>
  <si>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</si>
  <si>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</si>
  <si>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</si>
  <si>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</si>
  <si>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</si>
  <si>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</si>
  <si>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</si>
  <si>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t>(Studio Agréé 21h à 6h)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</si>
  <si>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</si>
  <si>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</si>
  <si>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</si>
  <si>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</si>
  <si>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</si>
  <si>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t>Tech Retour Image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</si>
  <si>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</si>
  <si>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</si>
  <si>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2nd Ass Op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</si>
  <si>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</si>
  <si>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</si>
  <si>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</si>
  <si>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</si>
  <si>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</si>
  <si>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</si>
  <si>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</si>
  <si>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</si>
  <si>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</si>
  <si>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</si>
  <si>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</si>
  <si>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</si>
  <si>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</si>
  <si>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</si>
  <si>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</si>
  <si>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</si>
  <si>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</si>
  <si>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</si>
  <si>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</si>
  <si>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</si>
  <si>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</si>
  <si>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</si>
  <si>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</si>
  <si>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</si>
  <si>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r>
      <rPr>
        <b/>
        <sz val="14"/>
        <rFont val="Century Gothic"/>
        <family val="1"/>
      </rPr>
      <t>Attention : la feuille est verouillée, il ne faut remplir QUE les champs qui sont indiqués en italique</t>
    </r>
    <r>
      <rPr>
        <sz val="14"/>
        <rFont val="Century Gothic"/>
        <family val="1"/>
      </rPr>
      <t xml:space="preserve">, les autres sont </t>
    </r>
  </si>
  <si>
    <t>Si vous souhaitez modifier d'autres choses sur la feuille, il n'y a pas de mot de passe pour la déverouiller.</t>
  </si>
  <si>
    <t>Du</t>
  </si>
  <si>
    <t>Au</t>
  </si>
  <si>
    <t>La feuille prend en compte la période des heures de nuit (été ou hiver) en se basant sur la date du jour, fourni</t>
  </si>
  <si>
    <t xml:space="preserve">par votre ordinateur. </t>
  </si>
  <si>
    <r>
      <t xml:space="preserve">Rentrer les dates de début et de fin de la semaine de travail </t>
    </r>
    <r>
      <rPr>
        <b/>
        <sz val="14"/>
        <rFont val="Century Gothic"/>
        <family val="1"/>
      </rPr>
      <t>en respectant le Format "=DATE(aaaa;m;j)"</t>
    </r>
  </si>
  <si>
    <t>Par exemple : saisir =DATE(2022;2;7) et =DATE(2022;2;11) pour une semaine allant du 07/02/2022 au 11/02/2022.</t>
  </si>
  <si>
    <t>MAJ JOURNEE CONTINUE</t>
  </si>
  <si>
    <t xml:space="preserve">Somme des Heures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</si>
</sst>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8" x14ac:knownFonts="1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i/>
      <sz val="14"/>
      <name val="Century Gothic"/>
      <family val="1"/>
    </font>
    <font>
      <sz val="14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4"/>
      <name val="Century Gothic"/>
      <family val="1"/>
    </font>
    <font>
      <sz val="14"/>
      <color theme="1"/>
      <name val="Century Gothic"/>
      <family val="1"/>
    </font>
    <font>
      <sz val="14"/>
      <color rgb="FFFF0000"/>
      <name val="Century Gothic"/>
      <family val="1"/>
    </font>
    <font>
      <sz val="12"/>
      <color theme="3" tint="0.7999816888943144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0" fillId="4" borderId="13" xfId="0" applyFill="1" applyBorder="1"/>
    <xf numFmtId="0" fontId="0" fillId="4" borderId="24" xfId="0" applyFill="1" applyBorder="1"/>
    <xf numFmtId="0" fontId="37" fillId="4" borderId="0" xfId="0" applyFont="1" applyFill="1"/>
    <xf numFmtId="0" fontId="37" fillId="0" borderId="0" xfId="0" applyFont="1"/>
    <xf numFmtId="0" fontId="38" fillId="0" borderId="0" xfId="0" applyFont="1"/>
    <xf numFmtId="49" fontId="11" fillId="4" borderId="18" xfId="0" applyNumberFormat="1" applyFont="1" applyFill="1" applyBorder="1" applyAlignment="1" applyProtection="1">
      <alignment horizontal="center" vertical="top"/>
    </xf>
    <xf numFmtId="0" fontId="9" fillId="4" borderId="22" xfId="0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top" wrapText="1"/>
    </xf>
    <xf numFmtId="49" fontId="11" fillId="4" borderId="4" xfId="0" applyNumberFormat="1" applyFont="1" applyFill="1" applyBorder="1" applyAlignment="1" applyProtection="1">
      <alignment horizontal="center" vertical="top" wrapText="1"/>
    </xf>
    <xf numFmtId="49" fontId="11" fillId="4" borderId="26" xfId="0" applyNumberFormat="1" applyFont="1" applyFill="1" applyBorder="1" applyAlignment="1" applyProtection="1">
      <alignment horizontal="center" vertical="top" wrapText="1"/>
    </xf>
    <xf numFmtId="165" fontId="2" fillId="12" borderId="0" xfId="0" applyNumberFormat="1" applyFont="1" applyFill="1" applyAlignment="1" applyProtection="1">
      <alignment horizontal="center"/>
    </xf>
    <xf numFmtId="165" fontId="7" fillId="12" borderId="27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20" fontId="27" fillId="4" borderId="2" xfId="0" applyNumberFormat="1" applyFont="1" applyFill="1" applyBorder="1" applyAlignment="1" applyProtection="1">
      <alignment horizontal="center" vertical="center"/>
    </xf>
    <xf numFmtId="20" fontId="8" fillId="4" borderId="2" xfId="0" applyNumberFormat="1" applyFont="1" applyFill="1" applyBorder="1" applyAlignment="1" applyProtection="1">
      <alignment horizontal="center" vertical="center"/>
    </xf>
    <xf numFmtId="165" fontId="24" fillId="0" borderId="27" xfId="0" applyNumberFormat="1" applyFont="1" applyBorder="1" applyProtection="1"/>
    <xf numFmtId="165" fontId="8" fillId="12" borderId="27" xfId="0" applyNumberFormat="1" applyFont="1" applyFill="1" applyBorder="1" applyAlignment="1" applyProtection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right" vertical="center"/>
    </xf>
    <xf numFmtId="0" fontId="14" fillId="4" borderId="8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right" vertical="center"/>
    </xf>
    <xf numFmtId="0" fontId="8" fillId="6" borderId="0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</xf>
    <xf numFmtId="0" fontId="13" fillId="14" borderId="10" xfId="0" applyFont="1" applyFill="1" applyBorder="1" applyAlignment="1" applyProtection="1">
      <alignment horizontal="right" vertical="center"/>
    </xf>
    <xf numFmtId="0" fontId="8" fillId="14" borderId="11" xfId="0" applyFont="1" applyFill="1" applyBorder="1" applyAlignment="1" applyProtection="1">
      <alignment horizontal="center" vertical="center"/>
    </xf>
    <xf numFmtId="2" fontId="8" fillId="14" borderId="16" xfId="0" applyNumberFormat="1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vertical="center"/>
    </xf>
    <xf numFmtId="0" fontId="4" fillId="9" borderId="7" xfId="0" applyFont="1" applyFill="1" applyBorder="1" applyAlignment="1" applyProtection="1">
      <alignment vertical="center"/>
    </xf>
    <xf numFmtId="0" fontId="15" fillId="9" borderId="8" xfId="0" applyFont="1" applyFill="1" applyBorder="1" applyAlignment="1" applyProtection="1">
      <alignment horizontal="right" vertical="center"/>
    </xf>
    <xf numFmtId="164" fontId="8" fillId="9" borderId="8" xfId="0" applyNumberFormat="1" applyFont="1" applyFill="1" applyBorder="1" applyAlignment="1" applyProtection="1">
      <alignment horizontal="center" vertical="center"/>
    </xf>
    <xf numFmtId="4" fontId="8" fillId="9" borderId="14" xfId="0" applyNumberFormat="1" applyFont="1" applyFill="1" applyBorder="1" applyAlignment="1" applyProtection="1">
      <alignment horizontal="center" vertical="center"/>
    </xf>
    <xf numFmtId="0" fontId="21" fillId="8" borderId="9" xfId="0" applyFont="1" applyFill="1" applyBorder="1" applyAlignment="1" applyProtection="1">
      <alignment horizontal="left" vertical="center"/>
    </xf>
    <xf numFmtId="0" fontId="15" fillId="8" borderId="0" xfId="0" applyFont="1" applyFill="1" applyBorder="1" applyAlignment="1" applyProtection="1">
      <alignment horizontal="right" vertical="center"/>
    </xf>
    <xf numFmtId="164" fontId="8" fillId="8" borderId="0" xfId="0" applyNumberFormat="1" applyFont="1" applyFill="1" applyBorder="1" applyAlignment="1" applyProtection="1">
      <alignment horizontal="center" vertical="center"/>
    </xf>
    <xf numFmtId="4" fontId="8" fillId="8" borderId="15" xfId="0" applyNumberFormat="1" applyFont="1" applyFill="1" applyBorder="1" applyAlignment="1" applyProtection="1">
      <alignment horizontal="center" vertical="center"/>
    </xf>
    <xf numFmtId="0" fontId="21" fillId="9" borderId="9" xfId="0" applyFont="1" applyFill="1" applyBorder="1" applyAlignment="1" applyProtection="1">
      <alignment horizontal="left" vertical="center"/>
    </xf>
    <xf numFmtId="0" fontId="15" fillId="9" borderId="0" xfId="0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4" fontId="8" fillId="9" borderId="15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vertical="center"/>
    </xf>
    <xf numFmtId="0" fontId="16" fillId="3" borderId="13" xfId="0" applyFont="1" applyFill="1" applyBorder="1" applyAlignment="1" applyProtection="1">
      <alignment horizontal="right" vertical="center"/>
    </xf>
    <xf numFmtId="164" fontId="8" fillId="3" borderId="13" xfId="0" applyNumberFormat="1" applyFont="1" applyFill="1" applyBorder="1" applyAlignment="1" applyProtection="1">
      <alignment horizontal="center" vertical="center"/>
    </xf>
    <xf numFmtId="4" fontId="8" fillId="3" borderId="17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5" fillId="13" borderId="9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horizontal="right" vertical="center"/>
    </xf>
    <xf numFmtId="164" fontId="8" fillId="13" borderId="0" xfId="0" applyNumberFormat="1" applyFont="1" applyFill="1" applyBorder="1" applyAlignment="1" applyProtection="1">
      <alignment horizontal="center" vertical="center"/>
    </xf>
    <xf numFmtId="4" fontId="8" fillId="13" borderId="15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49" fontId="6" fillId="3" borderId="9" xfId="0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right" vertical="center"/>
    </xf>
    <xf numFmtId="164" fontId="8" fillId="3" borderId="0" xfId="0" applyNumberFormat="1" applyFont="1" applyFill="1" applyBorder="1" applyAlignment="1" applyProtection="1">
      <alignment horizontal="center" vertical="center"/>
    </xf>
    <xf numFmtId="4" fontId="8" fillId="3" borderId="15" xfId="0" applyNumberFormat="1" applyFont="1" applyFill="1" applyBorder="1" applyAlignment="1" applyProtection="1">
      <alignment horizontal="center" vertical="center"/>
    </xf>
    <xf numFmtId="164" fontId="18" fillId="10" borderId="2" xfId="0" applyNumberFormat="1" applyFont="1" applyFill="1" applyBorder="1" applyAlignment="1" applyProtection="1">
      <alignment horizontal="center" vertical="center"/>
    </xf>
    <xf numFmtId="0" fontId="20" fillId="4" borderId="22" xfId="0" applyFont="1" applyFill="1" applyBorder="1" applyAlignment="1" applyProtection="1">
      <alignment horizontal="left" vertical="center"/>
    </xf>
    <xf numFmtId="0" fontId="19" fillId="10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vertical="center"/>
    </xf>
    <xf numFmtId="164" fontId="18" fillId="10" borderId="3" xfId="0" applyNumberFormat="1" applyFont="1" applyFill="1" applyBorder="1" applyAlignment="1" applyProtection="1">
      <alignment horizontal="center" vertical="center"/>
    </xf>
    <xf numFmtId="0" fontId="29" fillId="7" borderId="23" xfId="0" applyFont="1" applyFill="1" applyBorder="1" applyAlignment="1">
      <alignment horizontal="right" vertical="center"/>
    </xf>
    <xf numFmtId="0" fontId="23" fillId="7" borderId="24" xfId="0" applyFont="1" applyFill="1" applyBorder="1" applyAlignment="1" applyProtection="1">
      <alignment horizontal="center" vertical="center"/>
      <protection locked="0"/>
    </xf>
    <xf numFmtId="0" fontId="23" fillId="7" borderId="24" xfId="0" applyFont="1" applyFill="1" applyBorder="1" applyAlignment="1">
      <alignment horizontal="left" vertical="center"/>
    </xf>
    <xf numFmtId="0" fontId="29" fillId="11" borderId="22" xfId="0" applyFont="1" applyFill="1" applyBorder="1" applyAlignment="1">
      <alignment horizontal="right" vertical="center"/>
    </xf>
    <xf numFmtId="0" fontId="23" fillId="11" borderId="0" xfId="0" applyFont="1" applyFill="1" applyBorder="1" applyAlignment="1" applyProtection="1">
      <alignment horizontal="left" vertical="center"/>
      <protection locked="0"/>
    </xf>
    <xf numFmtId="0" fontId="29" fillId="11" borderId="0" xfId="0" applyFont="1" applyFill="1" applyBorder="1" applyAlignment="1" applyProtection="1">
      <alignment horizontal="right" vertical="center"/>
      <protection locked="0"/>
    </xf>
    <xf numFmtId="14" fontId="23" fillId="11" borderId="25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Border="1" applyAlignment="1">
      <alignment horizontal="right" vertical="center"/>
    </xf>
    <xf numFmtId="0" fontId="23" fillId="11" borderId="25" xfId="0" applyFont="1" applyFill="1" applyBorder="1" applyAlignment="1">
      <alignment horizontal="left" vertical="center"/>
    </xf>
    <xf numFmtId="14" fontId="23" fillId="11" borderId="28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25" xfId="0" applyFont="1" applyFill="1" applyBorder="1" applyAlignment="1">
      <alignment horizontal="left" vertical="top"/>
    </xf>
    <xf numFmtId="0" fontId="22" fillId="12" borderId="22" xfId="0" applyFont="1" applyFill="1" applyBorder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2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0" fontId="41" fillId="4" borderId="0" xfId="0" applyFont="1" applyFill="1" applyAlignment="1" applyProtection="1">
      <alignment vertical="center"/>
    </xf>
    <xf numFmtId="14" fontId="42" fillId="0" borderId="0" xfId="0" applyNumberFormat="1" applyFont="1" applyAlignment="1" applyProtection="1">
      <alignment horizontal="center" vertical="center"/>
    </xf>
    <xf numFmtId="164" fontId="8" fillId="12" borderId="0" xfId="0" applyNumberFormat="1" applyFont="1" applyFill="1" applyAlignment="1" applyProtection="1">
      <alignment horizontal="center"/>
    </xf>
    <xf numFmtId="0" fontId="2" fillId="4" borderId="22" xfId="0" applyFont="1" applyFill="1" applyBorder="1" applyAlignment="1" applyProtection="1">
      <alignment horizontal="left" vertical="center"/>
    </xf>
    <xf numFmtId="164" fontId="2" fillId="4" borderId="0" xfId="0" applyNumberFormat="1" applyFont="1" applyFill="1" applyAlignment="1" applyProtection="1">
      <alignment horizontal="center" vertical="center"/>
    </xf>
    <xf numFmtId="45" fontId="24" fillId="4" borderId="0" xfId="0" applyNumberFormat="1" applyFont="1" applyFill="1" applyAlignment="1" applyProtection="1">
      <alignment horizontal="center" vertical="center"/>
    </xf>
    <xf numFmtId="45" fontId="24" fillId="4" borderId="2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/>
    <xf numFmtId="0" fontId="2" fillId="0" borderId="0" xfId="0" applyNumberFormat="1" applyFont="1"/>
    <xf numFmtId="0" fontId="43" fillId="4" borderId="3" xfId="0" applyFont="1" applyFill="1" applyBorder="1" applyAlignment="1">
      <alignment horizontal="center" vertical="center"/>
    </xf>
    <xf numFmtId="0" fontId="42" fillId="4" borderId="20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 vertical="center"/>
    </xf>
    <xf numFmtId="0" fontId="42" fillId="4" borderId="21" xfId="0" applyFont="1" applyFill="1" applyBorder="1" applyAlignment="1">
      <alignment horizontal="center"/>
    </xf>
    <xf numFmtId="20" fontId="27" fillId="4" borderId="0" xfId="0" applyNumberFormat="1" applyFont="1" applyFill="1" applyAlignment="1" applyProtection="1">
      <alignment horizontal="center" vertical="center"/>
    </xf>
    <xf numFmtId="14" fontId="23" fillId="11" borderId="25" xfId="0" quotePrefix="1" applyNumberFormat="1" applyFont="1" applyFill="1" applyBorder="1" applyAlignment="1" applyProtection="1">
      <alignment horizontal="center" vertical="center"/>
      <protection locked="0"/>
    </xf>
    <xf numFmtId="4" fontId="8" fillId="9" borderId="4" xfId="0" applyNumberFormat="1" applyFont="1" applyFill="1" applyBorder="1" applyAlignment="1" applyProtection="1">
      <alignment horizontal="center" vertical="center"/>
    </xf>
    <xf numFmtId="4" fontId="8" fillId="8" borderId="5" xfId="0" applyNumberFormat="1" applyFont="1" applyFill="1" applyBorder="1" applyAlignment="1" applyProtection="1">
      <alignment horizontal="center" vertical="center"/>
    </xf>
    <xf numFmtId="4" fontId="8" fillId="9" borderId="5" xfId="0" applyNumberFormat="1" applyFont="1" applyFill="1" applyBorder="1" applyAlignment="1" applyProtection="1">
      <alignment horizontal="center" vertical="center"/>
    </xf>
    <xf numFmtId="4" fontId="8" fillId="3" borderId="30" xfId="0" applyNumberFormat="1" applyFont="1" applyFill="1" applyBorder="1" applyAlignment="1" applyProtection="1">
      <alignment horizontal="center" vertical="center"/>
    </xf>
    <xf numFmtId="4" fontId="8" fillId="13" borderId="5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3" fillId="13" borderId="9" xfId="0" applyFont="1" applyFill="1" applyBorder="1" applyProtection="1"/>
    <xf numFmtId="0" fontId="9" fillId="5" borderId="31" xfId="0" applyFont="1" applyFill="1" applyBorder="1" applyAlignment="1" applyProtection="1">
      <alignment horizontal="right" vertical="center"/>
    </xf>
    <xf numFmtId="164" fontId="10" fillId="5" borderId="32" xfId="0" applyNumberFormat="1" applyFont="1" applyFill="1" applyBorder="1" applyAlignment="1" applyProtection="1">
      <alignment horizontal="center" vertical="center"/>
    </xf>
    <xf numFmtId="4" fontId="10" fillId="5" borderId="33" xfId="0" applyNumberFormat="1" applyFont="1" applyFill="1" applyBorder="1" applyAlignment="1" applyProtection="1">
      <alignment horizontal="center" vertical="center"/>
    </xf>
    <xf numFmtId="4" fontId="10" fillId="5" borderId="34" xfId="0" applyNumberFormat="1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2" fontId="8" fillId="14" borderId="6" xfId="0" applyNumberFormat="1" applyFont="1" applyFill="1" applyBorder="1" applyAlignment="1" applyProtection="1">
      <alignment horizontal="center" vertical="center"/>
    </xf>
    <xf numFmtId="0" fontId="0" fillId="4" borderId="23" xfId="0" applyFill="1" applyBorder="1"/>
    <xf numFmtId="0" fontId="32" fillId="4" borderId="22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35" fillId="4" borderId="22" xfId="0" applyFont="1" applyFill="1" applyBorder="1" applyAlignment="1">
      <alignment vertical="center"/>
    </xf>
    <xf numFmtId="0" fontId="36" fillId="11" borderId="22" xfId="0" applyFont="1" applyFill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11" borderId="25" xfId="0" applyFont="1" applyFill="1" applyBorder="1" applyAlignment="1">
      <alignment vertical="center"/>
    </xf>
    <xf numFmtId="0" fontId="36" fillId="4" borderId="22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4" borderId="25" xfId="0" applyFont="1" applyFill="1" applyBorder="1" applyAlignment="1">
      <alignment vertical="center"/>
    </xf>
    <xf numFmtId="0" fontId="36" fillId="12" borderId="22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5" xfId="0" applyFont="1" applyFill="1" applyBorder="1" applyAlignment="1">
      <alignment vertical="center"/>
    </xf>
    <xf numFmtId="0" fontId="44" fillId="12" borderId="22" xfId="0" applyFont="1" applyFill="1" applyBorder="1" applyAlignment="1">
      <alignment vertical="center"/>
    </xf>
    <xf numFmtId="0" fontId="44" fillId="12" borderId="0" xfId="0" applyFont="1" applyFill="1" applyBorder="1" applyAlignment="1">
      <alignment vertical="center"/>
    </xf>
    <xf numFmtId="0" fontId="36" fillId="9" borderId="22" xfId="0" applyFont="1" applyFill="1" applyBorder="1" applyAlignment="1">
      <alignment vertical="center"/>
    </xf>
    <xf numFmtId="0" fontId="36" fillId="9" borderId="0" xfId="0" applyFont="1" applyFill="1" applyBorder="1" applyAlignment="1">
      <alignment vertical="center"/>
    </xf>
    <xf numFmtId="0" fontId="36" fillId="9" borderId="25" xfId="0" applyFont="1" applyFill="1" applyBorder="1" applyAlignment="1">
      <alignment vertical="center"/>
    </xf>
    <xf numFmtId="0" fontId="45" fillId="9" borderId="22" xfId="0" applyFont="1" applyFill="1" applyBorder="1" applyAlignment="1">
      <alignment vertical="center"/>
    </xf>
    <xf numFmtId="0" fontId="46" fillId="9" borderId="0" xfId="0" applyFont="1" applyFill="1" applyBorder="1" applyAlignment="1">
      <alignment vertical="center"/>
    </xf>
    <xf numFmtId="0" fontId="46" fillId="9" borderId="25" xfId="0" applyFont="1" applyFill="1" applyBorder="1" applyAlignment="1">
      <alignment vertical="center"/>
    </xf>
    <xf numFmtId="0" fontId="45" fillId="4" borderId="22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6" fillId="4" borderId="25" xfId="0" applyFont="1" applyFill="1" applyBorder="1" applyAlignment="1">
      <alignment vertical="center"/>
    </xf>
    <xf numFmtId="0" fontId="46" fillId="5" borderId="22" xfId="0" applyFont="1" applyFill="1" applyBorder="1" applyAlignment="1">
      <alignment vertical="center"/>
    </xf>
    <xf numFmtId="0" fontId="46" fillId="5" borderId="0" xfId="0" applyFont="1" applyFill="1" applyBorder="1" applyAlignment="1">
      <alignment vertical="center"/>
    </xf>
    <xf numFmtId="0" fontId="46" fillId="5" borderId="25" xfId="0" applyFont="1" applyFill="1" applyBorder="1" applyAlignment="1">
      <alignment vertical="center"/>
    </xf>
    <xf numFmtId="0" fontId="46" fillId="4" borderId="2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25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38" fillId="4" borderId="25" xfId="0" applyFont="1" applyFill="1" applyBorder="1" applyAlignment="1">
      <alignment vertical="center"/>
    </xf>
    <xf numFmtId="0" fontId="36" fillId="4" borderId="21" xfId="0" applyFont="1" applyFill="1" applyBorder="1" applyAlignment="1">
      <alignment vertical="center"/>
    </xf>
    <xf numFmtId="0" fontId="38" fillId="4" borderId="20" xfId="0" applyFont="1" applyFill="1" applyBorder="1" applyAlignment="1">
      <alignment vertical="center"/>
    </xf>
    <xf numFmtId="0" fontId="38" fillId="4" borderId="29" xfId="0" applyFont="1" applyFill="1" applyBorder="1" applyAlignment="1">
      <alignment vertical="center"/>
    </xf>
    <xf numFmtId="164" fontId="40" fillId="4" borderId="22" xfId="0" applyNumberFormat="1" applyFont="1" applyFill="1" applyBorder="1" applyAlignment="1">
      <alignment horizontal="center" vertical="center"/>
    </xf>
    <xf numFmtId="0" fontId="9" fillId="4" borderId="19" xfId="0" applyNumberFormat="1" applyFont="1" applyFill="1" applyBorder="1" applyAlignment="1" applyProtection="1">
      <alignment horizontal="center" vertical="center"/>
    </xf>
    <xf numFmtId="0" fontId="29" fillId="7" borderId="13" xfId="0" applyFont="1" applyFill="1" applyBorder="1" applyAlignment="1" applyProtection="1">
      <alignment horizontal="left" vertical="center"/>
    </xf>
    <xf numFmtId="0" fontId="29" fillId="11" borderId="0" xfId="0" applyFont="1" applyFill="1" applyBorder="1" applyAlignment="1" applyProtection="1">
      <alignment horizontal="right" vertical="center"/>
    </xf>
    <xf numFmtId="0" fontId="23" fillId="7" borderId="24" xfId="0" applyFont="1" applyFill="1" applyBorder="1" applyAlignment="1" applyProtection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</xf>
    <xf numFmtId="0" fontId="23" fillId="11" borderId="0" xfId="0" applyFont="1" applyFill="1" applyBorder="1" applyAlignment="1" applyProtection="1">
      <alignment horizontal="left" vertical="center"/>
    </xf>
    <xf numFmtId="0" fontId="23" fillId="11" borderId="0" xfId="0" applyFont="1" applyFill="1" applyAlignment="1" applyProtection="1">
      <alignment horizontal="left" vertical="top"/>
    </xf>
    <xf numFmtId="0" fontId="23" fillId="11" borderId="0" xfId="0" applyFont="1" applyFill="1" applyAlignment="1" applyProtection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vertical="center"/>
    </xf>
    <xf numFmtId="0" fontId="3" fillId="4" borderId="22" xfId="0" applyNumberFormat="1" applyFont="1" applyFill="1" applyBorder="1" applyAlignment="1" applyProtection="1">
      <alignment vertical="center"/>
    </xf>
    <xf numFmtId="164" fontId="7" fillId="1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right" vertical="center"/>
    </xf>
    <xf numFmtId="164" fontId="9" fillId="2" borderId="38" xfId="0" applyNumberFormat="1" applyFont="1" applyFill="1" applyBorder="1" applyAlignment="1" applyProtection="1">
      <alignment horizontal="center" vertical="center"/>
    </xf>
    <xf numFmtId="164" fontId="9" fillId="2" borderId="37" xfId="0" applyNumberFormat="1" applyFont="1" applyFill="1" applyBorder="1" applyAlignment="1" applyProtection="1">
      <alignment horizontal="center" vertical="center"/>
    </xf>
    <xf numFmtId="164" fontId="9" fillId="2" borderId="35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Protection="1"/>
    <xf numFmtId="0" fontId="41" fillId="3" borderId="9" xfId="0" applyFont="1" applyFill="1" applyBorder="1" applyAlignment="1" applyProtection="1">
      <alignment vertical="center"/>
    </xf>
    <xf numFmtId="4" fontId="40" fillId="3" borderId="15" xfId="0" applyNumberFormat="1" applyFont="1" applyFill="1" applyBorder="1" applyAlignment="1" applyProtection="1">
      <alignment horizontal="center" vertical="center"/>
    </xf>
    <xf numFmtId="4" fontId="40" fillId="3" borderId="5" xfId="0" applyNumberFormat="1" applyFont="1" applyFill="1" applyBorder="1" applyAlignment="1" applyProtection="1">
      <alignment horizontal="center" vertical="center"/>
    </xf>
    <xf numFmtId="49" fontId="6" fillId="13" borderId="10" xfId="0" applyNumberFormat="1" applyFont="1" applyFill="1" applyBorder="1" applyAlignment="1" applyProtection="1">
      <alignment vertical="center"/>
    </xf>
    <xf numFmtId="0" fontId="16" fillId="13" borderId="11" xfId="0" applyFont="1" applyFill="1" applyBorder="1" applyAlignment="1" applyProtection="1">
      <alignment horizontal="right" vertical="center"/>
    </xf>
    <xf numFmtId="4" fontId="8" fillId="13" borderId="16" xfId="0" applyNumberFormat="1" applyFont="1" applyFill="1" applyBorder="1" applyAlignment="1" applyProtection="1">
      <alignment horizontal="center" vertical="center"/>
    </xf>
    <xf numFmtId="4" fontId="8" fillId="13" borderId="6" xfId="0" applyNumberFormat="1" applyFont="1" applyFill="1" applyBorder="1" applyAlignment="1" applyProtection="1">
      <alignment horizontal="center" vertical="center"/>
    </xf>
    <xf numFmtId="0" fontId="9" fillId="4" borderId="39" xfId="0" applyNumberFormat="1" applyFont="1" applyFill="1" applyBorder="1" applyAlignment="1" applyProtection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right" vertical="center"/>
    </xf>
    <xf numFmtId="164" fontId="9" fillId="2" borderId="41" xfId="0" applyNumberFormat="1" applyFont="1" applyFill="1" applyBorder="1" applyAlignment="1" applyProtection="1">
      <alignment horizontal="center" vertical="center"/>
    </xf>
    <xf numFmtId="164" fontId="9" fillId="2" borderId="40" xfId="0" applyNumberFormat="1" applyFont="1" applyFill="1" applyBorder="1" applyAlignment="1" applyProtection="1">
      <alignment horizontal="center" vertical="center"/>
    </xf>
    <xf numFmtId="164" fontId="9" fillId="2" borderId="42" xfId="0" applyNumberFormat="1" applyFont="1" applyFill="1" applyBorder="1" applyAlignment="1" applyProtection="1">
      <alignment horizontal="center" vertical="center"/>
    </xf>
    <xf numFmtId="45" fontId="24" fillId="4" borderId="23" xfId="0" applyNumberFormat="1" applyFont="1" applyFill="1" applyBorder="1" applyAlignment="1" applyProtection="1">
      <alignment horizontal="center" vertical="center"/>
    </xf>
    <xf numFmtId="45" fontId="24" fillId="4" borderId="13" xfId="0" applyNumberFormat="1" applyFont="1" applyFill="1" applyBorder="1" applyAlignment="1" applyProtection="1">
      <alignment horizontal="center" vertical="center"/>
    </xf>
    <xf numFmtId="164" fontId="2" fillId="4" borderId="13" xfId="0" applyNumberFormat="1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20" fontId="27" fillId="4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vertical="center"/>
    </xf>
    <xf numFmtId="14" fontId="42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41" fillId="4" borderId="20" xfId="0" applyFont="1" applyFill="1" applyBorder="1" applyAlignment="1" applyProtection="1">
      <alignment horizontal="center" vertical="center"/>
    </xf>
    <xf numFmtId="164" fontId="47" fillId="12" borderId="2" xfId="0" applyNumberFormat="1" applyFont="1" applyFill="1" applyBorder="1" applyAlignment="1">
      <alignment horizontal="center" vertical="center"/>
    </xf>
    <xf numFmtId="164" fontId="40" fillId="3" borderId="0" xfId="0" applyNumberFormat="1" applyFont="1" applyFill="1" applyBorder="1" applyAlignment="1" applyProtection="1">
      <alignment horizontal="center" vertical="center"/>
    </xf>
    <xf numFmtId="164" fontId="8" fillId="13" borderId="11" xfId="0" applyNumberFormat="1" applyFont="1" applyFill="1" applyBorder="1" applyAlignment="1" applyProtection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K31"/>
  <sheetViews>
    <sheetView workbookViewId="0">
      <selection activeCell="A10" sqref="A10"/>
    </sheetView>
  </sheetViews>
  <sheetFormatPr baseColWidth="10" defaultRowHeight="12" x14ac:dyDescent="0.15"/>
  <cols>
    <col min="11" max="11" width="20.5" customWidth="1"/>
  </cols>
  <sheetData>
    <row r="1" spans="1:11" x14ac:dyDescent="0.15">
      <c r="A1" s="128"/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5" x14ac:dyDescent="0.15">
      <c r="A2" s="129" t="s">
        <v>53</v>
      </c>
      <c r="B2" s="130"/>
      <c r="C2" s="130"/>
      <c r="D2" s="130"/>
      <c r="E2" s="131"/>
      <c r="F2" s="131"/>
      <c r="G2" s="131"/>
      <c r="H2" s="131"/>
      <c r="I2" s="131"/>
      <c r="J2" s="131"/>
      <c r="K2" s="132"/>
    </row>
    <row r="3" spans="1:11" ht="23" customHeight="1" x14ac:dyDescent="0.15">
      <c r="A3" s="133" t="s">
        <v>52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1" ht="23" customHeight="1" x14ac:dyDescent="0.15">
      <c r="A4" s="133"/>
      <c r="B4" s="131"/>
      <c r="C4" s="131"/>
      <c r="D4" s="131"/>
      <c r="E4" s="131"/>
      <c r="F4" s="131"/>
      <c r="G4" s="131"/>
      <c r="H4" s="131"/>
      <c r="I4" s="131"/>
      <c r="J4" s="131"/>
      <c r="K4" s="132"/>
    </row>
    <row r="5" spans="1:11" ht="23" customHeight="1" x14ac:dyDescent="0.15">
      <c r="A5" s="134" t="s">
        <v>30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</row>
    <row r="6" spans="1:11" ht="23" customHeight="1" x14ac:dyDescent="0.15">
      <c r="A6" s="134" t="s">
        <v>66</v>
      </c>
      <c r="B6" s="135"/>
      <c r="C6" s="135"/>
      <c r="D6" s="135"/>
      <c r="E6" s="135"/>
      <c r="F6" s="135"/>
      <c r="G6" s="135"/>
      <c r="H6" s="135"/>
      <c r="I6" s="135"/>
      <c r="J6" s="135"/>
      <c r="K6" s="136"/>
    </row>
    <row r="7" spans="1:11" ht="23" customHeight="1" x14ac:dyDescent="0.15">
      <c r="A7" s="134" t="s">
        <v>51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</row>
    <row r="8" spans="1:11" ht="23" customHeight="1" x14ac:dyDescent="0.15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6"/>
    </row>
    <row r="9" spans="1:11" ht="23" customHeight="1" x14ac:dyDescent="0.15">
      <c r="A9" s="134" t="s">
        <v>67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23" customHeight="1" x14ac:dyDescent="0.1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23" customHeight="1" x14ac:dyDescent="0.15">
      <c r="A11" s="140" t="s">
        <v>48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11" ht="23" customHeight="1" x14ac:dyDescent="0.15">
      <c r="A12" s="143" t="s">
        <v>49</v>
      </c>
      <c r="B12" s="144"/>
      <c r="C12" s="144"/>
      <c r="D12" s="144"/>
      <c r="E12" s="144"/>
      <c r="F12" s="144"/>
      <c r="G12" s="144"/>
      <c r="H12" s="144"/>
      <c r="I12" s="141"/>
      <c r="J12" s="141"/>
      <c r="K12" s="142"/>
    </row>
    <row r="13" spans="1:11" ht="23" customHeight="1" x14ac:dyDescent="0.15">
      <c r="A13" s="140" t="s">
        <v>44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2"/>
    </row>
    <row r="14" spans="1:11" ht="23" customHeight="1" x14ac:dyDescent="0.15">
      <c r="A14" s="140" t="s">
        <v>50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2"/>
    </row>
    <row r="15" spans="1:11" ht="23" customHeight="1" x14ac:dyDescent="0.15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2"/>
    </row>
    <row r="16" spans="1:11" ht="23" customHeight="1" x14ac:dyDescent="0.15">
      <c r="A16" s="140" t="s">
        <v>60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2"/>
    </row>
    <row r="17" spans="1:11" ht="23" customHeight="1" x14ac:dyDescent="0.15">
      <c r="A17" s="140" t="s">
        <v>59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2"/>
    </row>
    <row r="18" spans="1:11" ht="23" customHeight="1" x14ac:dyDescent="0.15">
      <c r="A18" s="140" t="s">
        <v>61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2"/>
    </row>
    <row r="19" spans="1:11" s="10" customFormat="1" ht="23" customHeight="1" x14ac:dyDescent="0.15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9"/>
    </row>
    <row r="20" spans="1:11" s="14" customFormat="1" ht="23" customHeight="1" x14ac:dyDescent="0.25">
      <c r="A20" s="145" t="s">
        <v>45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7"/>
    </row>
    <row r="21" spans="1:11" s="14" customFormat="1" ht="23" customHeight="1" x14ac:dyDescent="0.25">
      <c r="A21" s="148" t="s">
        <v>46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50"/>
    </row>
    <row r="22" spans="1:11" s="14" customFormat="1" ht="23" customHeight="1" x14ac:dyDescent="0.25">
      <c r="A22" s="148" t="s">
        <v>64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50"/>
    </row>
    <row r="23" spans="1:11" s="14" customFormat="1" ht="23" customHeight="1" x14ac:dyDescent="0.25">
      <c r="A23" s="148" t="s">
        <v>65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50"/>
    </row>
    <row r="24" spans="1:11" s="13" customFormat="1" ht="23" customHeight="1" x14ac:dyDescent="0.25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3"/>
    </row>
    <row r="25" spans="1:11" ht="23" customHeight="1" x14ac:dyDescent="0.15">
      <c r="A25" s="154" t="s">
        <v>43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6"/>
    </row>
    <row r="26" spans="1:11" s="15" customFormat="1" ht="23" customHeight="1" x14ac:dyDescent="0.25">
      <c r="A26" s="154" t="s">
        <v>47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</row>
    <row r="27" spans="1:11" s="15" customFormat="1" ht="23" customHeight="1" x14ac:dyDescent="0.25">
      <c r="A27" s="157"/>
      <c r="B27" s="152"/>
      <c r="C27" s="152"/>
      <c r="D27" s="152"/>
      <c r="E27" s="152"/>
      <c r="F27" s="152"/>
      <c r="G27" s="152"/>
      <c r="H27" s="152"/>
      <c r="I27" s="152"/>
      <c r="J27" s="152"/>
      <c r="K27" s="153"/>
    </row>
    <row r="28" spans="1:11" s="15" customFormat="1" ht="23" customHeight="1" x14ac:dyDescent="0.25">
      <c r="A28" s="140" t="s">
        <v>54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9"/>
    </row>
    <row r="29" spans="1:11" ht="23" customHeight="1" x14ac:dyDescent="0.15">
      <c r="A29" s="140" t="s">
        <v>55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9"/>
    </row>
    <row r="30" spans="1:11" s="10" customFormat="1" ht="23" customHeight="1" x14ac:dyDescent="0.15">
      <c r="A30" s="137"/>
      <c r="B30" s="160"/>
      <c r="C30" s="160"/>
      <c r="D30" s="160"/>
      <c r="E30" s="160"/>
      <c r="F30" s="160"/>
      <c r="G30" s="160"/>
      <c r="H30" s="160"/>
      <c r="I30" s="160"/>
      <c r="J30" s="160"/>
      <c r="K30" s="161"/>
    </row>
    <row r="31" spans="1:11" ht="23" customHeight="1" x14ac:dyDescent="0.15">
      <c r="A31" s="162" t="s">
        <v>56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4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40"/>
  <sheetViews>
    <sheetView tabSelected="1" zoomScaleNormal="100" workbookViewId="0">
      <selection activeCell="D9" sqref="D9"/>
    </sheetView>
  </sheetViews>
  <sheetFormatPr baseColWidth="10" defaultColWidth="10.83203125" defaultRowHeight="12" x14ac:dyDescent="0.15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 x14ac:dyDescent="0.15">
      <c r="A1" s="76" t="s">
        <v>13</v>
      </c>
      <c r="B1" s="28" t="s">
        <v>40</v>
      </c>
      <c r="C1" s="167"/>
      <c r="D1" s="169" t="s">
        <v>39</v>
      </c>
      <c r="E1" s="7" t="s">
        <v>11</v>
      </c>
      <c r="F1" s="28" t="s">
        <v>36</v>
      </c>
      <c r="G1" s="170"/>
      <c r="H1" s="78"/>
    </row>
    <row r="2" spans="1:9" ht="20" customHeight="1" x14ac:dyDescent="0.15">
      <c r="A2" s="79" t="s">
        <v>14</v>
      </c>
      <c r="B2" s="80" t="s">
        <v>41</v>
      </c>
      <c r="C2" s="168" t="s">
        <v>62</v>
      </c>
      <c r="D2" s="82">
        <f>DATE(2022,1,3)</f>
        <v>43102</v>
      </c>
      <c r="E2" s="83" t="s">
        <v>12</v>
      </c>
      <c r="F2" s="80" t="s">
        <v>42</v>
      </c>
      <c r="G2" s="171"/>
      <c r="H2" s="84"/>
    </row>
    <row r="3" spans="1:9" ht="20" customHeight="1" thickBot="1" x14ac:dyDescent="0.2">
      <c r="A3" s="79"/>
      <c r="B3" s="173"/>
      <c r="C3" s="168" t="s">
        <v>63</v>
      </c>
      <c r="D3" s="85">
        <f>DATE(2022,1,7)</f>
        <v>43106</v>
      </c>
      <c r="E3" s="8"/>
      <c r="F3" s="172"/>
      <c r="G3" s="172"/>
      <c r="H3" s="86"/>
    </row>
    <row r="4" spans="1:9" ht="50" customHeight="1" x14ac:dyDescent="0.15">
      <c r="A4" s="16" t="s">
        <v>2</v>
      </c>
      <c r="B4" s="6" t="s">
        <v>37</v>
      </c>
      <c r="C4" s="6" t="s">
        <v>58</v>
      </c>
      <c r="D4" s="18" t="s">
        <v>16</v>
      </c>
      <c r="E4" s="18" t="s">
        <v>69</v>
      </c>
      <c r="F4" s="18" t="s">
        <v>10</v>
      </c>
      <c r="G4" s="19" t="s">
        <v>17</v>
      </c>
      <c r="H4" s="20" t="s">
        <v>28</v>
      </c>
    </row>
    <row r="5" spans="1:9" s="3" customFormat="1" ht="23" customHeight="1" x14ac:dyDescent="0.15">
      <c r="A5" s="87" t="str">
        <f>CHOOSE(WEEKDAY(A6,2),"LUNDI","MARDI","MERCREDI","JEUDI","VENDREDI","SAMEDI","DIMANCHE")</f>
        <v>LUNDI</v>
      </c>
      <c r="B5" s="88" t="str">
        <f>IF(OR(C5&lt;&gt;0, C6 &lt;&gt;0,), IF(MOD(C6-C5, 1) &lt; 0.041, "(pause réduite)", ""), "")</f>
        <v/>
      </c>
      <c r="C5" s="174">
        <v>0</v>
      </c>
      <c r="D5" s="89">
        <v>0</v>
      </c>
      <c r="E5" s="88">
        <f>IF(D5= "",0/24,((MOD(D6-D5,1))-MOD(C6-C5,1)))</f>
        <v>0</v>
      </c>
      <c r="F5" s="9">
        <f ca="1">IF(AND(D5&gt;=D6,D5&lt;=Deb,D5&lt;&gt;0,D6&lt;&gt;" "),MOD(Fin-Deb,1)-IF(D6&lt;=Fin,Fin-D6)+IF(D5&lt;=Fin,Fin-D5),IF(AND(D5&gt;=D6,D5&gt;Deb,D5&lt;&gt;0,D6&lt;&gt;0),MOD(Fin-Deb,1)-(D5-Deb)+IF(D6&gt;=Deb,D6-Deb)-IF(D6&lt;Fin,Fin-D6),IF(AND(D5&lt;D6,ISNUMBER(D5),D6&lt;&gt;0),0+IF(AND(D5&lt;=Fin,D6&lt;=Fin),D6-D5)+IF(AND(D5&lt;=Fin,D6&gt;Fin),Fin-D5)+IF(D6&gt;=Deb,D6-D5-IF(D5&lt;=Deb,Deb-D5)),0)))</f>
        <v>0</v>
      </c>
      <c r="G5" s="9">
        <v>0</v>
      </c>
      <c r="H5" s="177">
        <v>0</v>
      </c>
    </row>
    <row r="6" spans="1:9" ht="17" customHeight="1" x14ac:dyDescent="0.15">
      <c r="A6" s="90">
        <f>D2</f>
        <v>43102</v>
      </c>
      <c r="B6" s="91" t="str">
        <f>IF(E6=0 / 24, "","(journée continue)")</f>
        <v/>
      </c>
      <c r="C6" s="174">
        <v>0</v>
      </c>
      <c r="D6" s="89">
        <v>0</v>
      </c>
      <c r="E6" s="208">
        <f>SUM(D7,E7)</f>
        <v>0</v>
      </c>
      <c r="F6" s="9">
        <f ca="1">IF(C6&gt;Deb,-1/24,IF(C6&gt;(Deb-1/24),-((C6+1/24)-Deb),0 / 24))</f>
        <v>0</v>
      </c>
      <c r="G6" s="21"/>
      <c r="H6" s="22"/>
      <c r="I6" s="107"/>
    </row>
    <row r="7" spans="1:9" ht="17" customHeight="1" x14ac:dyDescent="0.15">
      <c r="A7" s="92"/>
      <c r="B7" s="93" t="str">
        <f>IF(A6 &lt;&gt; "", IF(A5="DIMANCHE", "(majoration dimanche)", ""), "")</f>
        <v/>
      </c>
      <c r="C7" s="94">
        <f>IF(C6 = C5, (MOD(D6-D5,1)),0)</f>
        <v>0</v>
      </c>
      <c r="D7" s="95">
        <f>IF(C5=0 / 24,0,IF((MOD(C5-D5,1))&lt;6.05 / 24,0,0.5 / 24))</f>
        <v>0</v>
      </c>
      <c r="E7" s="96">
        <f>IF(C7&gt;(6.05 / 24),0.5 / 24,(IF(C5 = C6, IF(MOD(D6-D5, 1) &lt;6.05/24, 0, 0.5/24), IF((MOD(D6-C6,1))&lt;6.05/24,0,0.5/24))))</f>
        <v>0</v>
      </c>
      <c r="F7" s="23" t="str">
        <f ca="1">IF(F6=0 / 24," ","(minoration repas nuit)")</f>
        <v xml:space="preserve"> </v>
      </c>
      <c r="G7" s="25"/>
      <c r="H7" s="26">
        <f>IF((E5+E6)&lt;10/24,0/24,(E5+E6)-10/24)</f>
        <v>0</v>
      </c>
    </row>
    <row r="8" spans="1:9" ht="17" customHeight="1" x14ac:dyDescent="0.15">
      <c r="A8" s="87" t="str">
        <f>CHOOSE(WEEKDAY(A6+1,2),"LUNDI","MARDI","MERCREDI","JEUDI","VENDREDI","SAMEDI","DIMANCHE")</f>
        <v>MARDI</v>
      </c>
      <c r="B8" s="97" t="str">
        <f>IF(OR(C8&lt;&gt;0, C9 &lt;&gt;0,), IF(MOD(C9-C8, 1) &lt; 0.041, "(pause réduite)", ""), "")</f>
        <v/>
      </c>
      <c r="C8" s="174">
        <v>0</v>
      </c>
      <c r="D8" s="89">
        <v>0</v>
      </c>
      <c r="E8" s="88">
        <f>IF(D8= "",0/24,((MOD(D9-D8,1))-MOD(C9-C8,1)))</f>
        <v>0</v>
      </c>
      <c r="F8" s="9">
        <f ca="1">IF(AND(D8&gt;=D9,D8&lt;=Deb,D8&lt;&gt;0,D9&lt;&gt;" "),MOD(Fin-Deb,1)-IF(D9&lt;=Fin,Fin-D9)+IF(D8&lt;=Fin,Fin-D8),IF(AND(D8&gt;=D9,D8&gt;Deb,D8&lt;&gt;0,D9&lt;&gt;0),MOD(Fin-Deb,1)-(D8-Deb)+IF(D9&gt;=Deb,D9-Deb)-IF(D9&lt;Fin,Fin-D9),IF(AND(D8&lt;D9,ISNUMBER(D8),D9&lt;&gt;0),0+IF(AND(D8&lt;=Fin,D9&lt;=Fin),D9-D8)+IF(AND(D8&lt;=Fin,D9&gt;Fin),Fin-D8)+IF(D9&gt;=Deb,D9-D8-IF(D8&lt;=Deb,Deb-D8)),0)))</f>
        <v>0</v>
      </c>
      <c r="G8" s="9">
        <f>IF(AND(D5=0, D6=0), 0/24, (IF(D8=0/24,0/24,IF((MOD(D8-D6,1))&gt;=11/24,0/24,11/24-(MOD(D8-D6,1))))))</f>
        <v>0</v>
      </c>
      <c r="H8" s="177">
        <v>0</v>
      </c>
      <c r="I8" s="106"/>
    </row>
    <row r="9" spans="1:9" ht="17" customHeight="1" x14ac:dyDescent="0.15">
      <c r="A9" s="90">
        <f>IF(AND(DATE(YEAR(D2),MONTH(D2),DAY(D2))&lt;DATE(YEAR(D3),MONTH(D3),DAY(D3)), A6&lt;&gt;""),DATE(YEAR(D2),MONTH(D2),DAY(D2)+1),"")</f>
        <v>43103</v>
      </c>
      <c r="B9" s="4" t="str">
        <f>IF(E9=0 / 24, "","(journée continue)")</f>
        <v/>
      </c>
      <c r="C9" s="174">
        <v>0</v>
      </c>
      <c r="D9" s="89">
        <v>0</v>
      </c>
      <c r="E9" s="208">
        <f>SUM(D10,E10)</f>
        <v>0</v>
      </c>
      <c r="F9" s="9">
        <f ca="1">IF(C9&gt;Deb,-1/24,IF(C9&gt;(Deb-1/24),-((C9+1/24)-Deb),0 / 24))</f>
        <v>0</v>
      </c>
      <c r="G9" s="21"/>
      <c r="H9" s="22"/>
    </row>
    <row r="10" spans="1:9" ht="17" customHeight="1" x14ac:dyDescent="0.15">
      <c r="A10" s="92"/>
      <c r="B10" s="93" t="str">
        <f>IF(A9 &lt;&gt; "", IF(A8="DIMANCHE", "(majoration dimanche)", ""), "")</f>
        <v/>
      </c>
      <c r="C10" s="94">
        <f>IF(C9 = C8, (MOD(D9-D8,1)),0)</f>
        <v>0</v>
      </c>
      <c r="D10" s="95">
        <f>IF(C8=0 / 24,0,IF((MOD(C8-D8,1))&lt;6.05 / 24,0,0.5 / 24))</f>
        <v>0</v>
      </c>
      <c r="E10" s="94">
        <f>IF(C10&gt;(6.05 / 24),0.5 / 24,(IF(C8 = C9, IF(MOD(D9-D8, 1) &lt;6.05/24, 0, 0.5/24), IF((MOD(D9-C9,1))&lt;6.05/24,0,0.5/24))))</f>
        <v>0</v>
      </c>
      <c r="F10" s="23" t="str">
        <f ca="1">IF(F9=0 / 24," ","(minoration repas nuit)")</f>
        <v xml:space="preserve"> </v>
      </c>
      <c r="G10" s="25"/>
      <c r="H10" s="26">
        <f>IF((E8+E9)&lt;10/24,0/24,(E8+E9)-10/24)</f>
        <v>0</v>
      </c>
    </row>
    <row r="11" spans="1:9" ht="17" customHeight="1" x14ac:dyDescent="0.2">
      <c r="A11" s="87" t="str">
        <f>CHOOSE(WEEKDAY(A6+2,2),"LUNDI","MARDI","MERCREDI","JEUDI","VENDREDI","SAMEDI","DIMANCHE")</f>
        <v>MERCREDI</v>
      </c>
      <c r="B11" s="97" t="str">
        <f>IF(OR(C11&lt;&gt;0, C12 &lt;&gt;0,), IF(MOD(C12-C11, 1) &lt; 0.041, "(pause réduite)", ""), "")</f>
        <v/>
      </c>
      <c r="C11" s="174">
        <v>0</v>
      </c>
      <c r="D11" s="89">
        <v>0</v>
      </c>
      <c r="E11" s="88">
        <f>IF(D11= "",0/24,((MOD(D12-D11,1))-MOD(C12-C11,1)))</f>
        <v>0</v>
      </c>
      <c r="F11" s="9">
        <f ca="1">IF(AND(D11&gt;=D12,D11&lt;=Deb,D11&lt;&gt;0,D12&lt;&gt;" "),MOD(Fin-Deb,1)-IF(D12&lt;=Fin,Fin-D12)+IF(D11&lt;=Fin,Fin-D11),IF(AND(D11&gt;=D12,D11&gt;Deb,D11&lt;&gt;0,D12&lt;&gt;0),MOD(Fin-Deb,1)-(D11-Deb)+IF(D12&gt;=Deb,D12-Deb)-IF(D12&lt;Fin,Fin-D12),IF(AND(D11&lt;D12,ISNUMBER(D11),D12&lt;&gt;0),0+IF(AND(D11&lt;=Fin,D12&lt;=Fin),D12-D11)+IF(AND(D11&lt;=Fin,D12&gt;Fin),Fin-D11)+IF(D12&gt;=Deb,D12-D11-IF(D11&lt;=Deb,Deb-D11)),0)))</f>
        <v>0</v>
      </c>
      <c r="G11" s="101">
        <f>IF(AND(D8=0, D9=0), 0/24, (IF(D11=0/24,0/24,IF((MOD(D11-D9,1))&gt;=11/24,0/24,11/24-(MOD(D11-D9,1))))))</f>
        <v>0</v>
      </c>
      <c r="H11" s="177">
        <v>0</v>
      </c>
    </row>
    <row r="12" spans="1:9" ht="17" customHeight="1" x14ac:dyDescent="0.15">
      <c r="A12" s="90">
        <f>IF(AND(DATE(YEAR(A9),MONTH(A9),DAY(A9))&lt;DATE(YEAR(D3),MONTH(D3),DAY(D3)), A9&lt;&gt;""),DATE(YEAR(D2),MONTH(D2),DAY(D2)+2), "")</f>
        <v>43104</v>
      </c>
      <c r="B12" s="4" t="str">
        <f>IF(E12=0 / 24, "","(journée continue)")</f>
        <v/>
      </c>
      <c r="C12" s="174">
        <v>0</v>
      </c>
      <c r="D12" s="98">
        <v>0</v>
      </c>
      <c r="E12" s="208">
        <f>SUM(D13,E13)</f>
        <v>0</v>
      </c>
      <c r="F12" s="9">
        <f ca="1">IF(C12&gt;Deb,-1/24,IF(C12&gt;(Deb-1/24),-((C12+1/24)-Deb),0 / 24))</f>
        <v>0</v>
      </c>
      <c r="G12" s="9"/>
      <c r="H12" s="22"/>
    </row>
    <row r="13" spans="1:9" ht="17" customHeight="1" x14ac:dyDescent="0.15">
      <c r="A13" s="92"/>
      <c r="B13" s="5" t="str">
        <f>IF(A12 &lt;&gt; "", IF(A11="DIMANCHE", "(majoration dimanche)", ""), "")</f>
        <v/>
      </c>
      <c r="C13" s="94">
        <f>IF(C12 = C11, (MOD(D12-D11,1)),0)</f>
        <v>0</v>
      </c>
      <c r="D13" s="95">
        <f>IF(C11=0 / 24,0,IF((MOD(C11-D11,1))&lt;6.05 / 24,0,0.5 / 24))</f>
        <v>0</v>
      </c>
      <c r="E13" s="96">
        <f>IF(C13&gt;(6.05 / 24),0.5 / 24,(IF(C11 = C12, IF(MOD(D12-D11, 1) &lt;6.05/24, 0, 0.5/24), IF((MOD(D12-C12,1))&lt;6.05/24,0,0.5/24))))</f>
        <v>0</v>
      </c>
      <c r="F13" s="23" t="str">
        <f ca="1">IF(F12=0 / 24," ","(minoration repas nuit)")</f>
        <v xml:space="preserve"> </v>
      </c>
      <c r="G13" s="25"/>
      <c r="H13" s="26">
        <f>IF((E11+E12)&lt;10/24,0/24,(E11+E12)-10/24)</f>
        <v>0</v>
      </c>
    </row>
    <row r="14" spans="1:9" ht="17" customHeight="1" x14ac:dyDescent="0.15">
      <c r="A14" s="87" t="str">
        <f>CHOOSE(WEEKDAY(A6+3,2),"LUNDI","MARDI","MERCREDI","JEUDI","VENDREDI","SAMEDI","DIMANCHE")</f>
        <v>JEUDI</v>
      </c>
      <c r="B14" s="97" t="str">
        <f>IF(OR(C14&lt;&gt;0, C15 &lt;&gt;0,), IF(MOD(C15-C14, 1) &lt; 0.041, "(pause réduite)", ""), "")</f>
        <v/>
      </c>
      <c r="C14" s="174">
        <v>0</v>
      </c>
      <c r="D14" s="89">
        <v>0</v>
      </c>
      <c r="E14" s="88">
        <f>IF(D14= "",0/24,((MOD(D15-D14,1))-MOD(C15-C14,1)))</f>
        <v>0</v>
      </c>
      <c r="F14" s="9">
        <f ca="1">IF(AND(D14&gt;=D15,D14&lt;=Deb,D14&lt;&gt;0,D15&lt;&gt;" "),MOD(Fin-Deb,1)-IF(D15&lt;=Fin,Fin-D15)+IF(D14&lt;=Fin,Fin-D14),IF(AND(D14&gt;=D15,D14&gt;Deb,D14&lt;&gt;0,D15&lt;&gt;0),MOD(Fin-Deb,1)-(D14-Deb)+IF(D15&gt;=Deb,D15-Deb)-IF(D15&lt;Fin,Fin-D15),IF(AND(D14&lt;D15,ISNUMBER(D14),D15&lt;&gt;0),0+IF(AND(D14&lt;=Fin,D15&lt;=Fin),D15-D14)+IF(AND(D14&lt;=Fin,D15&gt;Fin),Fin-D14)+IF(D15&gt;=Deb,D15-D14-IF(D14&lt;=Deb,Deb-D14)),0)))</f>
        <v>0</v>
      </c>
      <c r="G14" s="9">
        <f>IF(AND(D11=0, D12=0), 0/24, (IF(D14=0/24,0/24,IF((MOD(D14-D12,1))&gt;= 11/24, 0/24, (11/24- (MOD(D14-D12,1)))))))</f>
        <v>0</v>
      </c>
      <c r="H14" s="177">
        <v>0</v>
      </c>
    </row>
    <row r="15" spans="1:9" ht="17" customHeight="1" x14ac:dyDescent="0.15">
      <c r="A15" s="90">
        <f>IF(A12&lt;&gt; "", (IF(DATE(YEAR(A12),MONTH(A12),DAY(A12))&lt;DATE(YEAR(D3),MONTH(D3),DAY(D3)),DATE(YEAR(D2),MONTH(D2),(DAY(D2)+3)), "")), "")</f>
        <v>43105</v>
      </c>
      <c r="B15" s="4" t="str">
        <f>IF(E15=0 / 24, "","(journée continue)")</f>
        <v/>
      </c>
      <c r="C15" s="174">
        <v>0</v>
      </c>
      <c r="D15" s="89">
        <v>0</v>
      </c>
      <c r="E15" s="208">
        <f>SUM(D16,E16)</f>
        <v>0</v>
      </c>
      <c r="F15" s="9">
        <f ca="1">IF(C15&gt;Deb,-1/24,IF(C15&gt;(Deb-1/24),-((C15+1/24)-Deb),0 / 24))</f>
        <v>0</v>
      </c>
      <c r="G15" s="21"/>
      <c r="H15" s="22"/>
    </row>
    <row r="16" spans="1:9" ht="17" customHeight="1" x14ac:dyDescent="0.15">
      <c r="A16" s="92"/>
      <c r="B16" s="5" t="str">
        <f>IF(A15 &lt;&gt; "", IF(A14="DIMANCHE", "(majoration dimanche)", ""), "")</f>
        <v/>
      </c>
      <c r="C16" s="94">
        <f>IF(C14 = C15, (MOD(D15-D14,1)),0)</f>
        <v>0</v>
      </c>
      <c r="D16" s="95">
        <f>IF(C14=0 / 24,0,IF((MOD(C14-D14,1))&lt;6.05 / 24,0,0.5 / 24))</f>
        <v>0</v>
      </c>
      <c r="E16" s="96">
        <f>IF(C16&gt;(6.05 / 24),0.5 / 24,(IF(C15 = C14, IF(MOD(D15-D14, 1) &lt;6.05/24, 0, 0.5/24), IF((MOD(D15-C15,1))&lt;6.05/24,0,0.5/24))))</f>
        <v>0</v>
      </c>
      <c r="F16" s="23" t="str">
        <f ca="1">IF(F15=0 / 24," ","(minoration repas nuit)")</f>
        <v xml:space="preserve"> </v>
      </c>
      <c r="G16" s="25"/>
      <c r="H16" s="26">
        <f>IF((E14+E15)&lt;10/24,0/24,(E14+E15)-10/24)</f>
        <v>0</v>
      </c>
    </row>
    <row r="17" spans="1:9" ht="17" customHeight="1" x14ac:dyDescent="0.15">
      <c r="A17" s="87" t="str">
        <f>CHOOSE(WEEKDAY(A6+4,2),"LUNDI","MARDI","MERCREDI","JEUDI","VENDREDI","SAMEDI","DIMANCHE")</f>
        <v>VENDREDI</v>
      </c>
      <c r="B17" s="97" t="str">
        <f>IF(OR(C17&lt;&gt;0, C18 &lt;&gt;0,), IF(MOD(C18-C17, 1) &lt; 0.041, "(pause réduite)", ""), "")</f>
        <v/>
      </c>
      <c r="C17" s="174">
        <v>0</v>
      </c>
      <c r="D17" s="89">
        <v>0</v>
      </c>
      <c r="E17" s="88">
        <f>IF(D17="",0/24,((MOD(D18-D17,1))-MOD(C18-C17,1)))</f>
        <v>0</v>
      </c>
      <c r="F17" s="9">
        <f>IF(AND(ED1918,ISNUMBER(D17),D18&lt;&gt;0),0+IF(AND(D17&lt;=Fin,D18&lt;=Fin),D18-D17)+IF(AND(D17&lt;=Fin,D18&gt;Fin),Fin-D17)+IF(D18&gt;=Deb,D18-D17-IF(D17&lt;=Deb,Deb-D17)),0)</f>
        <v>0</v>
      </c>
      <c r="G17" s="9">
        <f>IF(AND(D14=0, D15=0), 0/24,(IF(D17=0/24,0/24,IF((MOD(D17-D15,1))&gt;= 11/24,0/24,11/24-(MOD(D17-D15,1))))))</f>
        <v>0</v>
      </c>
      <c r="H17" s="177">
        <v>0</v>
      </c>
    </row>
    <row r="18" spans="1:9" ht="17" customHeight="1" x14ac:dyDescent="0.15">
      <c r="A18" s="90">
        <f>IF(A15&lt;&gt; "", (IF(DATE(YEAR(A15),MONTH(A15),DAY(A15))&lt;DATE(YEAR(D3),MONTH(D3),DAY(D3)),DATE(YEAR(D2),MONTH(D2),(DAY(D2)+4)), "")), "")</f>
        <v>43106</v>
      </c>
      <c r="B18" s="4" t="str">
        <f>IF(E18=0 / 24, "","(journée continue)")</f>
        <v/>
      </c>
      <c r="C18" s="174">
        <v>0</v>
      </c>
      <c r="D18" s="89">
        <v>0</v>
      </c>
      <c r="E18" s="208">
        <f>SUM(D19,E19)</f>
        <v>0</v>
      </c>
      <c r="F18" s="9">
        <f ca="1">IF(C18&gt;Deb,-1/24,IF(C18&gt;(Deb-1/24),-((C18+1/24)-Deb),0 / 24))</f>
        <v>0</v>
      </c>
      <c r="G18" s="21"/>
      <c r="H18" s="22"/>
    </row>
    <row r="19" spans="1:9" ht="17" customHeight="1" x14ac:dyDescent="0.15">
      <c r="A19" s="165"/>
      <c r="B19" s="5" t="str">
        <f>IF(A18 &lt;&gt; "", IF(A17="DIMANCHE", "(majoration dimanche)", ""), "")</f>
        <v/>
      </c>
      <c r="C19" s="94">
        <f>IF(C17 = C18, (MOD(D18-D17,1)),0)</f>
        <v>0</v>
      </c>
      <c r="D19" s="95">
        <f>IF(C17=0 / 24,0,IF((MOD(C17-D17,1))&lt;6.05 / 24,0,0.5 / 24))</f>
        <v>0</v>
      </c>
      <c r="E19" s="96">
        <f>IF(C19&gt;(6.05 / 24),0.5 / 24,(IF(C17 = C18, IF(MOD(D18-D17, 1) &lt;6.05/24, 0, 0.5/24), IF((MOD(D18-C18,1))&lt;6.05/24,0,0.5/24))))</f>
        <v>0</v>
      </c>
      <c r="F19" s="23" t="str">
        <f ca="1">IF(F18=0 / 24," ","(minoration repas nuit)")</f>
        <v xml:space="preserve"> </v>
      </c>
      <c r="G19" s="25"/>
      <c r="H19" s="26">
        <f>IF((E17+E18)&lt;10/24,0/24,(E17+E18)-10/24)</f>
        <v>0</v>
      </c>
    </row>
    <row r="20" spans="1:9" ht="17" customHeight="1" x14ac:dyDescent="0.15">
      <c r="A20" s="87" t="str">
        <f>CHOOSE(WEEKDAY(A6+5,2),"LUNDI","MARDI","MERCREDI","JEUDI","VENDREDI","SAMEDI","DIMANCHE")</f>
        <v>SAMEDI</v>
      </c>
      <c r="B20" s="97" t="str">
        <f>IF(OR(C20&lt;&gt;0, C21 &lt;&gt;0,), IF(MOD(C21-C20, 1) &lt; 0.041, "(pause réduite)", ""), "")</f>
        <v/>
      </c>
      <c r="C20" s="174">
        <v>0</v>
      </c>
      <c r="D20" s="89">
        <v>0</v>
      </c>
      <c r="E20" s="88">
        <f>IF(D20= "",0/24,((MOD(D21-D20,1))-MOD(C21-C20,1)))</f>
        <v>0</v>
      </c>
      <c r="F20" s="9">
        <f ca="1">IF(AND(D20&gt;=D21,D20&lt;=Deb,D20&lt;&gt;0,D21&lt;&gt;" "),MOD(Fin-Deb,1)-IF(D21&lt;=Fin,Fin-D21)+IF(D20&lt;=Fin,Fin-D20),IF(AND(D20&gt;=D21,D20&gt;Deb,D20&lt;&gt;0,D21&lt;&gt;0),MOD(Fin-Deb,1)-(D20-Deb)+IF(D21&gt;=Deb,D21-Deb)-IF(D21&lt;Fin,Fin-D21),IF(AND(D20&lt;D21,ISNUMBER(D20),D21&lt;&gt;0),0+IF(AND(D20&lt;=Fin,D21&lt;=Fin),D21-D20)+IF(AND(D20&lt;=Fin,D21&gt;Fin),Fin-D20)+IF(D21&gt;=Deb,D21-D20-IF(D20&lt;=Deb,Deb-D20)),0)))</f>
        <v>0</v>
      </c>
      <c r="G20" s="9">
        <f>IF(AND(D17=0, D18=0),0/24, (IF(D20=0/24,0/24,IF((MOD(D20-D18,1))&gt;= 11/24,0/24,11/24-(MOD(D20-D18,1))))))</f>
        <v>0</v>
      </c>
      <c r="H20" s="177">
        <v>0</v>
      </c>
      <c r="I20" s="107"/>
    </row>
    <row r="21" spans="1:9" ht="17" customHeight="1" x14ac:dyDescent="0.15">
      <c r="A21" s="9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74">
        <v>0</v>
      </c>
      <c r="D21" s="89">
        <v>0</v>
      </c>
      <c r="E21" s="208">
        <f>SUM(D22,E22)</f>
        <v>0</v>
      </c>
      <c r="F21" s="9">
        <f ca="1">IF(C21&gt;Deb,-1/24,IF(C21&gt;(Deb-1/24),-((C21+1/24)-Deb),0 / 24))</f>
        <v>0</v>
      </c>
      <c r="G21" s="21"/>
      <c r="H21" s="27"/>
    </row>
    <row r="22" spans="1:9" ht="17" customHeight="1" x14ac:dyDescent="0.15">
      <c r="A22" s="17"/>
      <c r="B22" s="5" t="str">
        <f>IF(A21&lt;&gt;"",IF(A20="DIMANCHE","(majoration dimanche)",""), "")</f>
        <v/>
      </c>
      <c r="C22" s="94">
        <f>IF(C20 = C21, (MOD(D21-D20,1)),0)</f>
        <v>0</v>
      </c>
      <c r="D22" s="95">
        <f>IF(C20=0 / 24,0,IF((MOD(C20-D20,1))&lt;6.05 / 24,0,0.5 / 24))</f>
        <v>0</v>
      </c>
      <c r="E22" s="96">
        <f>IF(C22&gt;(6.05 / 24),0.5 / 24,(IF(C21 = C20, IF(MOD(D21-D20, 1) &lt;6.05/24, 0, 0.5/24), IF((MOD(D21-C21,1))&lt;6.05/24,0,0.5/24))))</f>
        <v>0</v>
      </c>
      <c r="F22" s="23" t="str">
        <f ca="1">IF(F21=0 / 24," ","(minoration repas nuit)")</f>
        <v xml:space="preserve"> </v>
      </c>
      <c r="G22" s="24">
        <f>SUM(H22+H19+H16+H13+H10+H7)</f>
        <v>0</v>
      </c>
      <c r="H22" s="26">
        <f>IF((E20+E21)&lt;10/24,0/24,(E20+E21)-10/24)</f>
        <v>0</v>
      </c>
    </row>
    <row r="23" spans="1:9" ht="17" customHeight="1" x14ac:dyDescent="0.15">
      <c r="A23" s="191"/>
      <c r="B23" s="192" t="str">
        <f>IF(OR(E5=0/24,E8=0/24,E11=0/24,E14=0/24,E17=0/24, E20=0/24,),"","(maj 100% 6ème jour+recup.)")</f>
        <v/>
      </c>
      <c r="C23" s="193"/>
      <c r="D23" s="194" t="s">
        <v>18</v>
      </c>
      <c r="E23" s="195">
        <f>SUM(E5,E8,E11,E14,E17,E20)</f>
        <v>0</v>
      </c>
      <c r="F23" s="195">
        <f ca="1">SUM(F5,F6,F8,F9,F11,F12,F14,F15,F17,F18,F20,F21)</f>
        <v>0</v>
      </c>
      <c r="G23" s="196">
        <f>SUM(G5:G21)</f>
        <v>0</v>
      </c>
      <c r="H23" s="197">
        <f>SUM(H21,H20,H18,H17,H15,H14,H12,H11,H9,H8,H6,H5)</f>
        <v>0</v>
      </c>
    </row>
    <row r="24" spans="1:9" ht="17" customHeight="1" thickBot="1" x14ac:dyDescent="0.2">
      <c r="A24" s="198">
        <f>IF(OR(D5=0, D5=""), IF(OR(D6=0, D6=""),  0, 36 / 60), 36/ 60)</f>
        <v>0</v>
      </c>
      <c r="B24" s="199">
        <f>IF(OR(D8=0, D8=""), IF(OR(D9=0, D9=""),  0, 36/60), 36/60)</f>
        <v>0</v>
      </c>
      <c r="C24" s="199">
        <f>IF(OR(D11=0, D11=""), IF(OR(D12=0, D12=""),  0, 36/60), 36/60)</f>
        <v>0</v>
      </c>
      <c r="D24" s="199">
        <f>IF(OR(D14=0, D14=""), IF(OR(D15=0, D15=""),  0, 36/ 60), 36/60)</f>
        <v>0</v>
      </c>
      <c r="E24" s="199">
        <f>IF(OR(D17=0, D17=""), IF(OR(D18=0, D18=""),  0, 36/ 60), 36/60)</f>
        <v>0</v>
      </c>
      <c r="F24" s="199">
        <f>IF(OR(D20=0, D20=""), IF(OR(D21=0, D21=""),  0, 36/60), 36/60)</f>
        <v>0</v>
      </c>
      <c r="G24" s="200"/>
      <c r="H24" s="201"/>
    </row>
    <row r="25" spans="1:9" s="3" customFormat="1" ht="16" x14ac:dyDescent="0.15">
      <c r="A25" s="34"/>
      <c r="B25" s="202">
        <f ca="1">IF(F5&gt;8 / 24,F6+F5-8 / 24,0 /24)</f>
        <v>0</v>
      </c>
      <c r="C25" s="203"/>
      <c r="D25" s="35" t="s">
        <v>5</v>
      </c>
      <c r="E25" s="36"/>
      <c r="F25" s="37" t="s">
        <v>31</v>
      </c>
      <c r="G25" s="37"/>
      <c r="H25" s="125"/>
    </row>
    <row r="26" spans="1:9" ht="17" customHeight="1" x14ac:dyDescent="0.15">
      <c r="A26" s="34"/>
      <c r="B26" s="202">
        <f ca="1">IF(F8&gt;8 / 24,F9+F8-8 / 24,0 /24)</f>
        <v>0</v>
      </c>
      <c r="C26" s="203"/>
      <c r="D26" s="38" t="s">
        <v>1</v>
      </c>
      <c r="E26" s="39"/>
      <c r="F26" s="40">
        <v>1139.28</v>
      </c>
      <c r="G26" s="40"/>
      <c r="H26" s="126"/>
    </row>
    <row r="27" spans="1:9" ht="17" customHeight="1" thickBot="1" x14ac:dyDescent="0.2">
      <c r="A27" s="34"/>
      <c r="B27" s="202">
        <f ca="1">IF(F11&gt;8 / 24,F12+F11-8 / 24,0 /24)</f>
        <v>0</v>
      </c>
      <c r="C27" s="203"/>
      <c r="D27" s="41" t="s">
        <v>4</v>
      </c>
      <c r="E27" s="42"/>
      <c r="F27" s="43">
        <f>+F26/35</f>
        <v>32.55085714285714</v>
      </c>
      <c r="G27" s="43">
        <f>+G26/35</f>
        <v>0</v>
      </c>
      <c r="H27" s="127">
        <f>+H26/35</f>
        <v>0</v>
      </c>
    </row>
    <row r="28" spans="1:9" ht="17" customHeight="1" x14ac:dyDescent="0.15">
      <c r="A28" s="176"/>
      <c r="B28" s="202">
        <f ca="1">IF(F14&gt;8 / 24,F15+F14-8 / 24,0 /24)</f>
        <v>0</v>
      </c>
      <c r="C28" s="45"/>
      <c r="D28" s="46" t="s">
        <v>0</v>
      </c>
      <c r="E28" s="47">
        <f>IF(E23&gt;35 / 24,35 / 24,E23)</f>
        <v>0</v>
      </c>
      <c r="F28" s="48">
        <f>(F27*E28)*24</f>
        <v>0</v>
      </c>
      <c r="G28" s="48">
        <f>(G27*E28)*24</f>
        <v>0</v>
      </c>
      <c r="H28" s="114">
        <f>(H27*E28)*24</f>
        <v>0</v>
      </c>
    </row>
    <row r="29" spans="1:9" s="3" customFormat="1" ht="17" customHeight="1" x14ac:dyDescent="0.15">
      <c r="A29" s="44"/>
      <c r="B29" s="202">
        <f>IF(F17&gt;8 / 24,F18+F17-8 / 24,0 /24)</f>
        <v>0</v>
      </c>
      <c r="C29" s="49" t="s">
        <v>20</v>
      </c>
      <c r="D29" s="50" t="s">
        <v>6</v>
      </c>
      <c r="E29" s="51">
        <f>IF(E23&gt;35 / 24,IF(E23&lt;43 / 24,E23-35 / 24,8 / 24),0 / 24)</f>
        <v>0</v>
      </c>
      <c r="F29" s="52">
        <f>((F27*E29)*24)*1.25</f>
        <v>0</v>
      </c>
      <c r="G29" s="52">
        <f>((G27*E29)*24)*1.25</f>
        <v>0</v>
      </c>
      <c r="H29" s="115">
        <f>((H27*E29)*24)*1.25</f>
        <v>0</v>
      </c>
    </row>
    <row r="30" spans="1:9" s="3" customFormat="1" ht="17" customHeight="1" x14ac:dyDescent="0.15">
      <c r="A30" s="176"/>
      <c r="B30" s="202">
        <f ca="1">IF(F20&gt;8 / 24,F21+F20-8 / 24,0 /24)</f>
        <v>0</v>
      </c>
      <c r="C30" s="53" t="s">
        <v>23</v>
      </c>
      <c r="D30" s="54" t="s">
        <v>7</v>
      </c>
      <c r="E30" s="55">
        <f>IF(E23&gt;48 / 24,5 / 24,IF(E23&gt;43 / 24,E23-43 / 24,0 / 24))</f>
        <v>0</v>
      </c>
      <c r="F30" s="56">
        <f>((F27*E30)*24)*1.5</f>
        <v>0</v>
      </c>
      <c r="G30" s="56">
        <f>((G27*E30)*24)*1.5</f>
        <v>0</v>
      </c>
      <c r="H30" s="116">
        <f>((H27*E30)*24)*1.5</f>
        <v>0</v>
      </c>
    </row>
    <row r="31" spans="1:9" s="3" customFormat="1" ht="17" customHeight="1" x14ac:dyDescent="0.15">
      <c r="A31" s="44"/>
      <c r="B31" s="204"/>
      <c r="C31" s="49" t="s">
        <v>24</v>
      </c>
      <c r="D31" s="50" t="s">
        <v>21</v>
      </c>
      <c r="E31" s="51">
        <f>IF(E23&gt;48 / 24,E23- 48 / 24,0 /24)</f>
        <v>0</v>
      </c>
      <c r="F31" s="52">
        <f>((F27*E31)*24)*1.75</f>
        <v>0</v>
      </c>
      <c r="G31" s="52">
        <f>((G27*E31)*24)*1.75</f>
        <v>0</v>
      </c>
      <c r="H31" s="115">
        <f>((H27*E31)*24)*1.75</f>
        <v>0</v>
      </c>
    </row>
    <row r="32" spans="1:9" s="3" customFormat="1" ht="17" customHeight="1" x14ac:dyDescent="0.15">
      <c r="A32" s="175"/>
      <c r="B32" s="205"/>
      <c r="C32" s="57"/>
      <c r="D32" s="58" t="s">
        <v>22</v>
      </c>
      <c r="E32" s="59">
        <f>G22</f>
        <v>0</v>
      </c>
      <c r="F32" s="60">
        <f>(F27*E32)*24</f>
        <v>0</v>
      </c>
      <c r="G32" s="60">
        <f>(G27*E32)*24</f>
        <v>0</v>
      </c>
      <c r="H32" s="117">
        <f>(H27*E32)*24</f>
        <v>0</v>
      </c>
    </row>
    <row r="33" spans="1:8" s="3" customFormat="1" ht="17" customHeight="1" thickBot="1" x14ac:dyDescent="0.2">
      <c r="A33" s="44"/>
      <c r="B33" s="206" t="s">
        <v>26</v>
      </c>
      <c r="C33" s="62"/>
      <c r="D33" s="63" t="s">
        <v>27</v>
      </c>
      <c r="E33" s="64">
        <f ca="1">SUM(F23+B25,B26,B27,B28,B29,B30)</f>
        <v>0</v>
      </c>
      <c r="F33" s="65">
        <f ca="1">((F27*E33)*24)*0.5</f>
        <v>0</v>
      </c>
      <c r="G33" s="65">
        <f ca="1">((G27*E33)*24)*0.5</f>
        <v>0</v>
      </c>
      <c r="H33" s="118">
        <f ca="1">((H27*E33)*24)*0.5</f>
        <v>0</v>
      </c>
    </row>
    <row r="34" spans="1:8" s="3" customFormat="1" ht="17" customHeight="1" x14ac:dyDescent="0.15">
      <c r="A34" s="44"/>
      <c r="B34" s="66" t="s">
        <v>9</v>
      </c>
      <c r="C34" s="67"/>
      <c r="D34" s="68" t="s">
        <v>29</v>
      </c>
      <c r="E34" s="69">
        <f>G23</f>
        <v>0</v>
      </c>
      <c r="F34" s="70">
        <f>(F27*E34)*24</f>
        <v>0</v>
      </c>
      <c r="G34" s="70">
        <f>(G27*E34)*24</f>
        <v>0</v>
      </c>
      <c r="H34" s="119">
        <f>(H27*E34)*24</f>
        <v>0</v>
      </c>
    </row>
    <row r="35" spans="1:8" s="3" customFormat="1" ht="17" customHeight="1" x14ac:dyDescent="0.15">
      <c r="A35" s="44"/>
      <c r="B35" s="71">
        <f ca="1">IF(TODAY()&gt;DATE(YEAR(TODAY()),3,31),IF(TODAY()&lt;DATE(YEAR(TODAY()),10,1),22 / 24,20 / 24),20 /24)</f>
        <v>0.83333333333333337</v>
      </c>
      <c r="C35" s="120"/>
      <c r="D35" s="63" t="s">
        <v>25</v>
      </c>
      <c r="E35" s="64">
        <f>H23</f>
        <v>0</v>
      </c>
      <c r="F35" s="65">
        <f>(F27*E35)*24</f>
        <v>0</v>
      </c>
      <c r="G35" s="65">
        <f>(G27*E35)*24</f>
        <v>0</v>
      </c>
      <c r="H35" s="118">
        <f>(G27*E35)*24</f>
        <v>0</v>
      </c>
    </row>
    <row r="36" spans="1:8" s="3" customFormat="1" ht="17" customHeight="1" x14ac:dyDescent="0.15">
      <c r="A36" s="72"/>
      <c r="B36" s="73" t="s">
        <v>8</v>
      </c>
      <c r="C36" s="183"/>
      <c r="D36" s="68" t="s">
        <v>68</v>
      </c>
      <c r="E36" s="69">
        <f>SUM(E6,E9,E12,E15,E18,E21)</f>
        <v>0</v>
      </c>
      <c r="F36" s="70">
        <f>(F27*E36)*24</f>
        <v>0</v>
      </c>
      <c r="G36" s="70">
        <f>(G27*E36)*24</f>
        <v>0</v>
      </c>
      <c r="H36" s="119">
        <f>(H27*E36)*24</f>
        <v>0</v>
      </c>
    </row>
    <row r="37" spans="1:8" s="3" customFormat="1" ht="17" customHeight="1" thickBot="1" x14ac:dyDescent="0.2">
      <c r="A37" s="72" t="s">
        <v>15</v>
      </c>
      <c r="B37" s="75">
        <v>0.25</v>
      </c>
      <c r="C37" s="62"/>
      <c r="D37" s="63" t="s">
        <v>3</v>
      </c>
      <c r="E37" s="64">
        <v>0</v>
      </c>
      <c r="F37" s="65">
        <f>(F27*E37)*24</f>
        <v>0</v>
      </c>
      <c r="G37" s="65">
        <f>(G27*E37)*24</f>
        <v>0</v>
      </c>
      <c r="H37" s="118">
        <f>(H27*E37)*24</f>
        <v>0</v>
      </c>
    </row>
    <row r="38" spans="1:8" ht="17" customHeight="1" x14ac:dyDescent="0.15">
      <c r="A38" s="72" t="s">
        <v>57</v>
      </c>
      <c r="B38" s="110"/>
      <c r="C38" s="184"/>
      <c r="D38" s="68" t="s">
        <v>38</v>
      </c>
      <c r="E38" s="209">
        <f>IF(B7&lt;&gt;"",E5,IF(B10&lt;&gt;"",E8,IF(B13&lt;&gt;"",E11,IF(B16&lt;&gt;"",E14,IF(B19&lt;&gt;"",E17,IF(B22&lt;&gt;"",E20, 0))))))</f>
        <v>0</v>
      </c>
      <c r="F38" s="185">
        <f>(F27*E38)*24</f>
        <v>0</v>
      </c>
      <c r="G38" s="185">
        <v>0</v>
      </c>
      <c r="H38" s="186">
        <v>0</v>
      </c>
    </row>
    <row r="39" spans="1:8" ht="17" thickBot="1" x14ac:dyDescent="0.2">
      <c r="A39" s="102" t="s">
        <v>34</v>
      </c>
      <c r="B39" s="110"/>
      <c r="C39" s="187"/>
      <c r="D39" s="188" t="s">
        <v>33</v>
      </c>
      <c r="E39" s="210">
        <f>-IF(AND(A24=0.6, B24 = 0.6, C24=0.6, D24=0.6, E24 = 0.6, F24 = 0.6), 4/24, (SUM(A24,B24,C24,D24,E24,F24,)/24))</f>
        <v>0</v>
      </c>
      <c r="F39" s="189">
        <f>(F27*E39)*24</f>
        <v>0</v>
      </c>
      <c r="G39" s="189">
        <f>(G27*E39)*24</f>
        <v>0</v>
      </c>
      <c r="H39" s="190">
        <f>(H27*E39)*24</f>
        <v>0</v>
      </c>
    </row>
    <row r="40" spans="1:8" ht="17" thickBot="1" x14ac:dyDescent="0.2">
      <c r="A40" s="111"/>
      <c r="B40" s="109"/>
      <c r="C40" s="207"/>
      <c r="D40" s="121" t="s">
        <v>19</v>
      </c>
      <c r="E40" s="122">
        <f>IF(E39=-0.125, (IF(E23&lt;(46/24), 43/24,SUM(E23,E39))),SUM(E23,E39))</f>
        <v>0</v>
      </c>
      <c r="F40" s="123">
        <f ca="1">SUM(F28:F39)</f>
        <v>0</v>
      </c>
      <c r="G40" s="123">
        <f ca="1">SUM(G28:G39)</f>
        <v>0</v>
      </c>
      <c r="H40" s="124">
        <f ca="1">SUM(H28:H39)</f>
        <v>0</v>
      </c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I40"/>
  <sheetViews>
    <sheetView topLeftCell="A2" zoomScaleNormal="100" workbookViewId="0">
      <selection activeCell="H8" sqref="H8"/>
    </sheetView>
  </sheetViews>
  <sheetFormatPr baseColWidth="10" defaultColWidth="10.83203125" defaultRowHeight="12" x14ac:dyDescent="0.15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 x14ac:dyDescent="0.15">
      <c r="A1" s="76" t="s">
        <v>13</v>
      </c>
      <c r="B1" s="170" t="str">
        <f>'1er Ass'!B1</f>
        <v>"Production"</v>
      </c>
      <c r="C1" s="167"/>
      <c r="D1" s="169" t="str">
        <f>'1er Ass'!D1</f>
        <v>Semaine N°</v>
      </c>
      <c r="E1" s="7" t="s">
        <v>11</v>
      </c>
      <c r="F1" s="170" t="str">
        <f>'1er Ass'!F1</f>
        <v>Caméra</v>
      </c>
      <c r="G1" s="170"/>
      <c r="H1" s="78"/>
    </row>
    <row r="2" spans="1:9" ht="20" customHeight="1" x14ac:dyDescent="0.15">
      <c r="A2" s="79" t="s">
        <v>14</v>
      </c>
      <c r="B2" s="171" t="str">
        <f>'1er Ass'!B2</f>
        <v>"Film"</v>
      </c>
      <c r="C2" s="168" t="s">
        <v>62</v>
      </c>
      <c r="D2" s="113">
        <f>'1er Ass'!D2</f>
        <v>43102</v>
      </c>
      <c r="E2" s="83" t="s">
        <v>12</v>
      </c>
      <c r="F2" s="80" t="s">
        <v>42</v>
      </c>
      <c r="G2" s="171"/>
      <c r="H2" s="84"/>
    </row>
    <row r="3" spans="1:9" ht="20" customHeight="1" thickBot="1" x14ac:dyDescent="0.2">
      <c r="A3" s="79"/>
      <c r="B3" s="173"/>
      <c r="C3" s="168" t="s">
        <v>63</v>
      </c>
      <c r="D3" s="85">
        <f>'1er Ass'!D3</f>
        <v>43106</v>
      </c>
      <c r="E3" s="8"/>
      <c r="F3" s="172"/>
      <c r="G3" s="172"/>
      <c r="H3" s="86"/>
    </row>
    <row r="4" spans="1:9" ht="50" customHeight="1" x14ac:dyDescent="0.15">
      <c r="A4" s="16" t="s">
        <v>2</v>
      </c>
      <c r="B4" s="6" t="s">
        <v>37</v>
      </c>
      <c r="C4" s="6" t="s">
        <v>58</v>
      </c>
      <c r="D4" s="18" t="s">
        <v>16</v>
      </c>
      <c r="E4" s="18" t="s">
        <v>69</v>
      </c>
      <c r="F4" s="18" t="s">
        <v>10</v>
      </c>
      <c r="G4" s="19" t="s">
        <v>17</v>
      </c>
      <c r="H4" s="20" t="s">
        <v>28</v>
      </c>
    </row>
    <row r="5" spans="1:9" s="3" customFormat="1" ht="23" customHeight="1" x14ac:dyDescent="0.15">
      <c r="A5" s="87" t="str">
        <f>CHOOSE(WEEKDAY(A6,2),"LUNDI","MARDI","MERCREDI","JEUDI","VENDREDI","SAMEDI","DIMANCHE")</f>
        <v>LUNDI</v>
      </c>
      <c r="B5" s="88" t="str">
        <f>IF(OR(C5&lt;&gt;0, C6 &lt;&gt;0,), IF(MOD(C6-C5, 1) &lt; 0.041, "(pause réduite)", ""), "")</f>
        <v/>
      </c>
      <c r="C5" s="174">
        <f>'1er Ass'!C5</f>
        <v>0</v>
      </c>
      <c r="D5" s="89">
        <f>'1er Ass'!D5</f>
        <v>0</v>
      </c>
      <c r="E5" s="88">
        <f>IF(D5= "",0/24,((MOD(D6-D5,1))-MOD(C6-C5,1)))</f>
        <v>0</v>
      </c>
      <c r="F5" s="9">
        <f ca="1">IF(AND(D5&gt;=D6,D5&lt;=Deb,D5&lt;&gt;0,D6&lt;&gt;" "),MOD(Fin-Deb,1)-IF(D6&lt;=Fin,Fin-D6)+IF(D5&lt;=Fin,Fin-D5),IF(AND(D5&gt;=D6,D5&gt;Deb,D5&lt;&gt;0,D6&lt;&gt;0),MOD(Fin-Deb,1)-(D5-Deb)+IF(D6&gt;=Deb,D6-Deb)-IF(D6&lt;Fin,Fin-D6),IF(AND(D5&lt;D6,ISNUMBER(D5),D6&lt;&gt;0),0+IF(AND(D5&lt;=Fin,D6&lt;=Fin),D6-D5)+IF(AND(D5&lt;=Fin,D6&gt;Fin),Fin-D5)+IF(D6&gt;=Deb,D6-D5-IF(D5&lt;=Deb,Deb-D5)),0)))</f>
        <v>0</v>
      </c>
      <c r="G5" s="9">
        <v>0</v>
      </c>
      <c r="H5" s="177">
        <f>'1er Ass'!H5</f>
        <v>0</v>
      </c>
    </row>
    <row r="6" spans="1:9" ht="17" customHeight="1" x14ac:dyDescent="0.15">
      <c r="A6" s="90">
        <f>D2</f>
        <v>43102</v>
      </c>
      <c r="B6" s="91" t="str">
        <f>IF(E6=0 / 24, "","(journée continue)")</f>
        <v/>
      </c>
      <c r="C6" s="174">
        <f>'1er Ass'!C6</f>
        <v>0</v>
      </c>
      <c r="D6" s="89">
        <f>'1er Ass'!D6</f>
        <v>0</v>
      </c>
      <c r="E6" s="208">
        <f>SUM(D7,E7)</f>
        <v>0</v>
      </c>
      <c r="F6" s="9">
        <f ca="1">IF(C6&gt;Deb,-1/24,IF(C6&gt;(Deb-1/24),-((C6+1/24)-Deb),0 / 24))</f>
        <v>0</v>
      </c>
      <c r="G6" s="21"/>
      <c r="H6" s="22"/>
      <c r="I6" s="107"/>
    </row>
    <row r="7" spans="1:9" ht="17" customHeight="1" x14ac:dyDescent="0.15">
      <c r="A7" s="92"/>
      <c r="B7" s="93" t="str">
        <f>IF(A6 &lt;&gt; "", IF(A5="DIMANCHE", "(majoration dimanche)", ""), "")</f>
        <v/>
      </c>
      <c r="C7" s="94">
        <f>IF(C6 = C5, (MOD(D6-D5,1)),0)</f>
        <v>0</v>
      </c>
      <c r="D7" s="95">
        <f>IF(C5=0 / 24,0,IF((MOD(C5-D5,1))&lt;6.05 / 24,0,0.5 / 24))</f>
        <v>0</v>
      </c>
      <c r="E7" s="96">
        <f>IF(C7&gt;(6.05 / 24),0.5 / 24,(IF(C5 = C6, IF(MOD(D6-D5, 1) &lt;6.05/24, 0, 0.5/24), IF((MOD(D6-C6,1))&lt;6.05/24,0,0.5/24))))</f>
        <v>0</v>
      </c>
      <c r="F7" s="23" t="str">
        <f ca="1">IF(F6=0 / 24," ","(minoration repas nuit)")</f>
        <v xml:space="preserve"> </v>
      </c>
      <c r="G7" s="25"/>
      <c r="H7" s="26">
        <f>IF((E5+E6)&lt;10/24,0/24,(E5+E6)-10/24)</f>
        <v>0</v>
      </c>
    </row>
    <row r="8" spans="1:9" ht="17" customHeight="1" x14ac:dyDescent="0.15">
      <c r="A8" s="87" t="str">
        <f>CHOOSE(WEEKDAY(A6+1,2),"LUNDI","MARDI","MERCREDI","JEUDI","VENDREDI","SAMEDI","DIMANCHE")</f>
        <v>MARDI</v>
      </c>
      <c r="B8" s="97" t="str">
        <f>IF(OR(C8&lt;&gt;0, C9 &lt;&gt;0,), IF(MOD(C9-C8, 1) &lt; 0.041, "(pause réduite)", ""), "")</f>
        <v/>
      </c>
      <c r="C8" s="174">
        <f>'1er Ass'!C8</f>
        <v>0</v>
      </c>
      <c r="D8" s="89">
        <f>'1er Ass'!D8</f>
        <v>0</v>
      </c>
      <c r="E8" s="88">
        <f>IF(D8= "",0/24,((MOD(D9-D8,1))-MOD(C9-C8,1)))</f>
        <v>0</v>
      </c>
      <c r="F8" s="9">
        <f ca="1">IF(AND(D8&gt;=D9,D8&lt;=Deb,D8&lt;&gt;0,D9&lt;&gt;" "),MOD(Fin-Deb,1)-IF(D9&lt;=Fin,Fin-D9)+IF(D8&lt;=Fin,Fin-D8),IF(AND(D8&gt;=D9,D8&gt;Deb,D8&lt;&gt;0,D9&lt;&gt;0),MOD(Fin-Deb,1)-(D8-Deb)+IF(D9&gt;=Deb,D9-Deb)-IF(D9&lt;Fin,Fin-D9),IF(AND(D8&lt;D9,ISNUMBER(D8),D9&lt;&gt;0),0+IF(AND(D8&lt;=Fin,D9&lt;=Fin),D9-D8)+IF(AND(D8&lt;=Fin,D9&gt;Fin),Fin-D8)+IF(D9&gt;=Deb,D9-D8-IF(D8&lt;=Deb,Deb-D8)),0)))</f>
        <v>0</v>
      </c>
      <c r="G8" s="9">
        <f>IF(AND(D5=0, D6=0), 0/24, (IF(D8=0/24,0/24,IF((MOD(D8-D6,1))&gt;=11/24,0/24,11/24-(MOD(D8-D6,1))))))</f>
        <v>0</v>
      </c>
      <c r="H8" s="177">
        <f>'1er Ass'!H8</f>
        <v>0</v>
      </c>
    </row>
    <row r="9" spans="1:9" ht="17" customHeight="1" x14ac:dyDescent="0.15">
      <c r="A9" s="90">
        <f>IF(AND(DATE(YEAR(D2),MONTH(D2),DAY(D2))&lt;DATE(YEAR(D3),MONTH(D3),DAY(D3)), A6&lt;&gt;""),DATE(YEAR(D2),MONTH(D2),DAY(D2)+1),"")</f>
        <v>43103</v>
      </c>
      <c r="B9" s="4" t="str">
        <f>IF(E9=0 / 24, "","(journée continue)")</f>
        <v/>
      </c>
      <c r="C9" s="174">
        <f>'1er Ass'!C9</f>
        <v>0</v>
      </c>
      <c r="D9" s="89">
        <f>'1er Ass'!D9</f>
        <v>0</v>
      </c>
      <c r="E9" s="208">
        <f>SUM(D10,E10)</f>
        <v>0</v>
      </c>
      <c r="F9" s="9">
        <f ca="1">IF(C9&gt;Deb,-1/24,IF(C9&gt;(Deb-1/24),-((C9+1/24)-Deb),0 / 24))</f>
        <v>0</v>
      </c>
      <c r="G9" s="21"/>
      <c r="H9" s="22"/>
    </row>
    <row r="10" spans="1:9" ht="17" customHeight="1" x14ac:dyDescent="0.15">
      <c r="A10" s="92"/>
      <c r="B10" s="93" t="str">
        <f>IF(A9 &lt;&gt; "", IF(A8="DIMANCHE", "(majoration dimanche)", ""), "")</f>
        <v/>
      </c>
      <c r="C10" s="94">
        <f>IF(C9 = C8, (MOD(D9-D8,1)),0)</f>
        <v>0</v>
      </c>
      <c r="D10" s="95">
        <f>IF(C8=0 / 24,0,IF((MOD(C8-D8,1))&lt;6.05 / 24,0,0.5 / 24))</f>
        <v>0</v>
      </c>
      <c r="E10" s="94">
        <f>IF(C10&gt;(6.05 / 24),0.5 / 24,(IF(C8 = C9, IF(MOD(D9-D8, 1) &lt;6.05/24, 0, 0.5/24), IF((MOD(D9-C9,1))&lt;6.05/24,0,0.5/24))))</f>
        <v>0</v>
      </c>
      <c r="F10" s="23" t="str">
        <f ca="1">IF(F9=0 / 24," ","(minoration repas nuit)")</f>
        <v xml:space="preserve"> </v>
      </c>
      <c r="G10" s="25"/>
      <c r="H10" s="26">
        <f>IF((E8+E9)&lt;10/24,0/24,(E8+E9)-10/24)</f>
        <v>0</v>
      </c>
    </row>
    <row r="11" spans="1:9" ht="17" customHeight="1" x14ac:dyDescent="0.2">
      <c r="A11" s="87" t="str">
        <f>CHOOSE(WEEKDAY(A6+2,2),"LUNDI","MARDI","MERCREDI","JEUDI","VENDREDI","SAMEDI","DIMANCHE")</f>
        <v>MERCREDI</v>
      </c>
      <c r="B11" s="97" t="str">
        <f>IF(OR(C11&lt;&gt;0, C12 &lt;&gt;0,), IF(MOD(C12-C11, 1) &lt; 0.041, "(pause réduite)", ""), "")</f>
        <v/>
      </c>
      <c r="C11" s="174">
        <f>'1er Ass'!C11</f>
        <v>0</v>
      </c>
      <c r="D11" s="89">
        <f>'1er Ass'!D11</f>
        <v>0</v>
      </c>
      <c r="E11" s="88">
        <f>IF(D11= "",0/24,((MOD(D12-D11,1))-MOD(C12-C11,1)))</f>
        <v>0</v>
      </c>
      <c r="F11" s="9">
        <f ca="1">IF(AND(D11&gt;=D12,D11&lt;=Deb,D11&lt;&gt;0,D12&lt;&gt;" "),MOD(Fin-Deb,1)-IF(D12&lt;=Fin,Fin-D12)+IF(D11&lt;=Fin,Fin-D11),IF(AND(D11&gt;=D12,D11&gt;Deb,D11&lt;&gt;0,D12&lt;&gt;0),MOD(Fin-Deb,1)-(D11-Deb)+IF(D12&gt;=Deb,D12-Deb)-IF(D12&lt;Fin,Fin-D12),IF(AND(D11&lt;D12,ISNUMBER(D11),D12&lt;&gt;0),0+IF(AND(D11&lt;=Fin,D12&lt;=Fin),D12-D11)+IF(AND(D11&lt;=Fin,D12&gt;Fin),Fin-D11)+IF(D12&gt;=Deb,D12-D11-IF(D11&lt;=Deb,Deb-D11)),0)))</f>
        <v>0</v>
      </c>
      <c r="G11" s="101">
        <f>IF(AND(D8=0, D9=0), 0/24, (IF(D11=0/24,0/24,IF((MOD(D11-D9,1))&gt;=11/24,0/24,11/24-(MOD(D11-D9,1))))))</f>
        <v>0</v>
      </c>
      <c r="H11" s="177">
        <f>'1er Ass'!H11</f>
        <v>0</v>
      </c>
    </row>
    <row r="12" spans="1:9" ht="17" customHeight="1" x14ac:dyDescent="0.15">
      <c r="A12" s="90">
        <f>IF(AND(DATE(YEAR(A9),MONTH(A9),DAY(A9))&lt;DATE(YEAR(D3),MONTH(D3),DAY(D3)), A9&lt;&gt;""),DATE(YEAR(D2),MONTH(D2),DAY(D2)+2), "")</f>
        <v>43104</v>
      </c>
      <c r="B12" s="4" t="str">
        <f>IF(E12=0 / 24, "","(journée continue)")</f>
        <v/>
      </c>
      <c r="C12" s="174">
        <f>'1er Ass'!C12</f>
        <v>0</v>
      </c>
      <c r="D12" s="98">
        <f>'1er Ass'!D12</f>
        <v>0</v>
      </c>
      <c r="E12" s="208">
        <f>SUM(D13,E13)</f>
        <v>0</v>
      </c>
      <c r="F12" s="9">
        <f ca="1">IF(C12&gt;Deb,-1/24,IF(C12&gt;(Deb-1/24),-((C12+1/24)-Deb),0 / 24))</f>
        <v>0</v>
      </c>
      <c r="G12" s="9"/>
      <c r="H12" s="22"/>
    </row>
    <row r="13" spans="1:9" ht="17" customHeight="1" x14ac:dyDescent="0.15">
      <c r="A13" s="92"/>
      <c r="B13" s="5" t="str">
        <f>IF(A12 &lt;&gt; "", IF(A11="DIMANCHE", "(majoration dimanche)", ""), "")</f>
        <v/>
      </c>
      <c r="C13" s="94">
        <f>IF(C12 = C11, (MOD(D12-D11,1)),0)</f>
        <v>0</v>
      </c>
      <c r="D13" s="95">
        <f>IF(C11=0 / 24,0,IF((MOD(C11-D11,1))&lt;6.05 / 24,0,0.5 / 24))</f>
        <v>0</v>
      </c>
      <c r="E13" s="96">
        <f>IF(C13&gt;(6.05 / 24),0.5 / 24,(IF(C11 = C12, IF(MOD(D12-D11, 1) &lt;6.05/24, 0, 0.5/24), IF((MOD(D12-C12,1))&lt;6.05/24,0,0.5/24))))</f>
        <v>0</v>
      </c>
      <c r="F13" s="23" t="str">
        <f ca="1">IF(F12=0 / 24," ","(minoration repas nuit)")</f>
        <v xml:space="preserve"> </v>
      </c>
      <c r="G13" s="25"/>
      <c r="H13" s="26">
        <f>IF((E11+E12)&lt;10/24,0/24,(E11+E12)-10/24)</f>
        <v>0</v>
      </c>
    </row>
    <row r="14" spans="1:9" ht="17" customHeight="1" x14ac:dyDescent="0.15">
      <c r="A14" s="87" t="str">
        <f>CHOOSE(WEEKDAY(A6+3,2),"LUNDI","MARDI","MERCREDI","JEUDI","VENDREDI","SAMEDI","DIMANCHE")</f>
        <v>JEUDI</v>
      </c>
      <c r="B14" s="97" t="str">
        <f>IF(OR(C14&lt;&gt;0, C15 &lt;&gt;0,), IF(MOD(C15-C14, 1) &lt; 0.041, "(pause réduite)", ""), "")</f>
        <v/>
      </c>
      <c r="C14" s="174">
        <f>'1er Ass'!C14</f>
        <v>0</v>
      </c>
      <c r="D14" s="89">
        <f>'1er Ass'!D14</f>
        <v>0</v>
      </c>
      <c r="E14" s="88">
        <f>IF(D14= "",0/24,((MOD(D15-D14,1))-MOD(C15-C14,1)))</f>
        <v>0</v>
      </c>
      <c r="F14" s="9">
        <f ca="1">IF(AND(D14&gt;=D15,D14&lt;=Deb,D14&lt;&gt;0,D15&lt;&gt;" "),MOD(Fin-Deb,1)-IF(D15&lt;=Fin,Fin-D15)+IF(D14&lt;=Fin,Fin-D14),IF(AND(D14&gt;=D15,D14&gt;Deb,D14&lt;&gt;0,D15&lt;&gt;0),MOD(Fin-Deb,1)-(D14-Deb)+IF(D15&gt;=Deb,D15-Deb)-IF(D15&lt;Fin,Fin-D15),IF(AND(D14&lt;D15,ISNUMBER(D14),D15&lt;&gt;0),0+IF(AND(D14&lt;=Fin,D15&lt;=Fin),D15-D14)+IF(AND(D14&lt;=Fin,D15&gt;Fin),Fin-D14)+IF(D15&gt;=Deb,D15-D14-IF(D14&lt;=Deb,Deb-D14)),0)))</f>
        <v>0</v>
      </c>
      <c r="G14" s="9">
        <f>IF(AND(D11=0, D12=0), 0/24, (IF(D14=0/24,0/24,IF((MOD(D14-D12,1))&gt;= 11/24, 0/24, (11/24- (MOD(D14-D12,1)))))))</f>
        <v>0</v>
      </c>
      <c r="H14" s="177">
        <f>'1er Ass'!H14</f>
        <v>0</v>
      </c>
    </row>
    <row r="15" spans="1:9" ht="17" customHeight="1" x14ac:dyDescent="0.15">
      <c r="A15" s="90">
        <f>IF(A12&lt;&gt; "", (IF(DATE(YEAR(A12),MONTH(A12),DAY(A12))&lt;DATE(YEAR(D3),MONTH(D3),DAY(D3)),DATE(YEAR(D2),MONTH(D2),(DAY(D2)+3)), "")), "")</f>
        <v>43105</v>
      </c>
      <c r="B15" s="4" t="str">
        <f>IF(E15=0 / 24, "","(journée continue)")</f>
        <v/>
      </c>
      <c r="C15" s="174">
        <f>'1er Ass'!C15</f>
        <v>0</v>
      </c>
      <c r="D15" s="89">
        <f>'1er Ass'!D15</f>
        <v>0</v>
      </c>
      <c r="E15" s="208">
        <f>SUM(D16,E16)</f>
        <v>0</v>
      </c>
      <c r="F15" s="9">
        <f ca="1">IF(C15&gt;Deb,-1/24,IF(C15&gt;(Deb-1/24),-((C15+1/24)-Deb),0 / 24))</f>
        <v>0</v>
      </c>
      <c r="G15" s="21"/>
      <c r="H15" s="22"/>
    </row>
    <row r="16" spans="1:9" ht="17" customHeight="1" x14ac:dyDescent="0.15">
      <c r="A16" s="92"/>
      <c r="B16" s="5" t="str">
        <f>IF(A15 &lt;&gt; "", IF(A14="DIMANCHE", "(majoration dimanche)", ""), "")</f>
        <v/>
      </c>
      <c r="C16" s="94">
        <f>IF(C14 = C15, (MOD(D15-D14,1)),0)</f>
        <v>0</v>
      </c>
      <c r="D16" s="95">
        <f>IF(C14=0 / 24,0,IF((MOD(C14-D14,1))&lt;6.05 / 24,0,0.5 / 24))</f>
        <v>0</v>
      </c>
      <c r="E16" s="96">
        <f>IF(C16&gt;(6.05 / 24),0.5 / 24,(IF(C15 = C14, IF(MOD(D15-D14, 1) &lt;6.05/24, 0, 0.5/24), IF((MOD(D15-C15,1))&lt;6.05/24,0,0.5/24))))</f>
        <v>0</v>
      </c>
      <c r="F16" s="23" t="str">
        <f ca="1">IF(F15=0 / 24," ","(minoration repas nuit)")</f>
        <v xml:space="preserve"> </v>
      </c>
      <c r="G16" s="25"/>
      <c r="H16" s="26">
        <f>IF((E14+E15)&lt;10/24,0/24,(E14+E15)-10/24)</f>
        <v>0</v>
      </c>
    </row>
    <row r="17" spans="1:9" ht="17" customHeight="1" x14ac:dyDescent="0.15">
      <c r="A17" s="87" t="str">
        <f>CHOOSE(WEEKDAY(A6+4,2),"LUNDI","MARDI","MERCREDI","JEUDI","VENDREDI","SAMEDI","DIMANCHE")</f>
        <v>VENDREDI</v>
      </c>
      <c r="B17" s="97" t="str">
        <f>IF(OR(C17&lt;&gt;0, C18 &lt;&gt;0,), IF(MOD(C18-C17, 1) &lt; 0.041, "(pause réduite)", ""), "")</f>
        <v/>
      </c>
      <c r="C17" s="174">
        <f>'1er Ass'!C17</f>
        <v>0</v>
      </c>
      <c r="D17" s="89">
        <f>'1er Ass'!D17</f>
        <v>0</v>
      </c>
      <c r="E17" s="88">
        <f>IF(D17="",0/24,((MOD(D18-D17,1))-MOD(C18-C17,1)))</f>
        <v>0</v>
      </c>
      <c r="F17" s="9">
        <f>IF(AND(ED1918,ISNUMBER(D17),D18&lt;&gt;0),0+IF(AND(D17&lt;=Fin,D18&lt;=Fin),D18-D17)+IF(AND(D17&lt;=Fin,D18&gt;Fin),Fin-D17)+IF(D18&gt;=Deb,D18-D17-IF(D17&lt;=Deb,Deb-D17)),0)</f>
        <v>0</v>
      </c>
      <c r="G17" s="9">
        <f>IF(AND(D14=0, D15=0), 0/24,(IF(D17=0/24,0/24,IF((MOD(D17-D15,1))&gt;= 11/24,0/24,11/24-(MOD(D17-D15,1))))))</f>
        <v>0</v>
      </c>
      <c r="H17" s="177">
        <f>'1er Ass'!H17</f>
        <v>0</v>
      </c>
    </row>
    <row r="18" spans="1:9" ht="17" customHeight="1" x14ac:dyDescent="0.15">
      <c r="A18" s="90">
        <f>IF(A15&lt;&gt; "", (IF(DATE(YEAR(A15),MONTH(A15),DAY(A15))&lt;DATE(YEAR(D3),MONTH(D3),DAY(D3)),DATE(YEAR(D2),MONTH(D2),(DAY(D2)+4)), "")), "")</f>
        <v>43106</v>
      </c>
      <c r="B18" s="4" t="str">
        <f>IF(E18=0 / 24, "","(journée continue)")</f>
        <v/>
      </c>
      <c r="C18" s="174">
        <f>'1er Ass'!C18</f>
        <v>0</v>
      </c>
      <c r="D18" s="89">
        <f>'1er Ass'!D18</f>
        <v>0</v>
      </c>
      <c r="E18" s="208">
        <f>SUM(D19,E19)</f>
        <v>0</v>
      </c>
      <c r="F18" s="9">
        <f ca="1">IF(C18&gt;Deb,-1/24,IF(C18&gt;(Deb-1/24),-((C18+1/24)-Deb),0 / 24))</f>
        <v>0</v>
      </c>
      <c r="G18" s="21"/>
      <c r="H18" s="22"/>
    </row>
    <row r="19" spans="1:9" ht="17" customHeight="1" x14ac:dyDescent="0.15">
      <c r="A19" s="165"/>
      <c r="B19" s="5" t="str">
        <f>IF(A18 &lt;&gt; "", IF(A17="DIMANCHE", "(majoration dimanche)", ""), "")</f>
        <v/>
      </c>
      <c r="C19" s="94">
        <f>IF(C17 = C18, (MOD(D18-D17,1)),0)</f>
        <v>0</v>
      </c>
      <c r="D19" s="95">
        <f>IF(C17=0 / 24,0,IF((MOD(C17-D17,1))&lt;6.05 / 24,0,0.5 / 24))</f>
        <v>0</v>
      </c>
      <c r="E19" s="96">
        <f>IF(C19&gt;(6.05 / 24),0.5 / 24,(IF(C17 = C18, IF(MOD(D18-D17, 1) &lt;6.05/24, 0, 0.5/24), IF((MOD(D18-C18,1))&lt;6.05/24,0,0.5/24))))</f>
        <v>0</v>
      </c>
      <c r="F19" s="23" t="str">
        <f ca="1">IF(F18=0 / 24," ","(minoration repas nuit)")</f>
        <v xml:space="preserve"> </v>
      </c>
      <c r="G19" s="25"/>
      <c r="H19" s="26">
        <f>IF((E17+E18)&lt;10/24,0/24,(E17+E18)-10/24)</f>
        <v>0</v>
      </c>
    </row>
    <row r="20" spans="1:9" ht="17" customHeight="1" x14ac:dyDescent="0.15">
      <c r="A20" s="87" t="str">
        <f>CHOOSE(WEEKDAY(A6+5,2),"LUNDI","MARDI","MERCREDI","JEUDI","VENDREDI","SAMEDI","DIMANCHE")</f>
        <v>SAMEDI</v>
      </c>
      <c r="B20" s="97" t="str">
        <f>IF(OR(C20&lt;&gt;0, C21 &lt;&gt;0,), IF(MOD(C21-C20, 1) &lt; 0.041, "(pause réduite)", ""), "")</f>
        <v/>
      </c>
      <c r="C20" s="174">
        <f>'1er Ass'!C20</f>
        <v>0</v>
      </c>
      <c r="D20" s="89">
        <f>'1er Ass'!D20</f>
        <v>0</v>
      </c>
      <c r="E20" s="88">
        <f>IF(D20= "",0/24,((MOD(D21-D20,1))-MOD(C21-C20,1)))</f>
        <v>0</v>
      </c>
      <c r="F20" s="9">
        <f ca="1">IF(AND(D20&gt;=D21,D20&lt;=Deb,D20&lt;&gt;0,D21&lt;&gt;" "),MOD(Fin-Deb,1)-IF(D21&lt;=Fin,Fin-D21)+IF(D20&lt;=Fin,Fin-D20),IF(AND(D20&gt;=D21,D20&gt;Deb,D20&lt;&gt;0,D21&lt;&gt;0),MOD(Fin-Deb,1)-(D20-Deb)+IF(D21&gt;=Deb,D21-Deb)-IF(D21&lt;Fin,Fin-D21),IF(AND(D20&lt;D21,ISNUMBER(D20),D21&lt;&gt;0),0+IF(AND(D20&lt;=Fin,D21&lt;=Fin),D21-D20)+IF(AND(D20&lt;=Fin,D21&gt;Fin),Fin-D20)+IF(D21&gt;=Deb,D21-D20-IF(D20&lt;=Deb,Deb-D20)),0)))</f>
        <v>0</v>
      </c>
      <c r="G20" s="9">
        <f>IF(AND(D17=0, D18=0),0/24, (IF(D20=0/24,0/24,IF((MOD(D20-D18,1))&gt;= 11/24,0/24,11/24-(MOD(D20-D18,1))))))</f>
        <v>0</v>
      </c>
      <c r="H20" s="177">
        <f>'1er Ass'!H20</f>
        <v>0</v>
      </c>
      <c r="I20" s="107"/>
    </row>
    <row r="21" spans="1:9" ht="17" customHeight="1" x14ac:dyDescent="0.15">
      <c r="A21" s="9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74">
        <f>'1er Ass'!C21</f>
        <v>0</v>
      </c>
      <c r="D21" s="89">
        <f>'1er Ass'!D21</f>
        <v>0</v>
      </c>
      <c r="E21" s="208">
        <f>SUM(D22,E22)</f>
        <v>0</v>
      </c>
      <c r="F21" s="9">
        <f ca="1">IF(C21&gt;Deb,-1/24,IF(C21&gt;(Deb-1/24),-((C21+1/24)-Deb),0 / 24))</f>
        <v>0</v>
      </c>
      <c r="G21" s="21"/>
      <c r="H21" s="27"/>
    </row>
    <row r="22" spans="1:9" ht="17" customHeight="1" x14ac:dyDescent="0.15">
      <c r="A22" s="17"/>
      <c r="B22" s="5" t="str">
        <f>IF(A21&lt;&gt;"",IF(A20="DIMANCHE","(majoration dimanche)",""), "")</f>
        <v/>
      </c>
      <c r="C22" s="94">
        <f>IF(C20 = C21, (MOD(D21-D20,1)),0)</f>
        <v>0</v>
      </c>
      <c r="D22" s="95">
        <f>IF(C20=0 / 24,0,IF((MOD(C20-D20,1))&lt;6.05 / 24,0,0.5 / 24))</f>
        <v>0</v>
      </c>
      <c r="E22" s="96">
        <f>IF(C22&gt;(6.05 / 24),0.5 / 24,(IF(C21 = C20, IF(MOD(D21-D20, 1) &lt;6.05/24, 0, 0.5/24), IF((MOD(D21-C21,1))&lt;6.05/24,0,0.5/24))))</f>
        <v>0</v>
      </c>
      <c r="F22" s="23" t="str">
        <f ca="1">IF(F21=0 / 24," ","(minoration repas nuit)")</f>
        <v xml:space="preserve"> </v>
      </c>
      <c r="G22" s="24">
        <f>SUM(H22+H19+H16+H13+H10+H7)</f>
        <v>0</v>
      </c>
      <c r="H22" s="26">
        <f>IF((E20+E21)&lt;10/24,0/24,(E20+E21)-10/24)</f>
        <v>0</v>
      </c>
    </row>
    <row r="23" spans="1:9" ht="17" customHeight="1" thickBot="1" x14ac:dyDescent="0.2">
      <c r="A23" s="166"/>
      <c r="B23" s="108" t="str">
        <f>IF(OR(E5=0/24,E8=0/24,E11=0/24,E14=0/24,E17=0/24, E20=0/24,),"","(maj 100% 6ème jour+recup.)")</f>
        <v/>
      </c>
      <c r="C23" s="178"/>
      <c r="D23" s="179" t="s">
        <v>18</v>
      </c>
      <c r="E23" s="180">
        <f>SUM(E5,E8,E11,E14,E17,E20)</f>
        <v>0</v>
      </c>
      <c r="F23" s="180">
        <f ca="1">SUM(F5,F6,F8,F9,F11,F12,F14,F15,F17,F18,F20,F21)</f>
        <v>0</v>
      </c>
      <c r="G23" s="181">
        <f>SUM(G5:G21)</f>
        <v>0</v>
      </c>
      <c r="H23" s="182">
        <f>SUM(H21,H20,H18,H17,H15,H14,H12,H11,H9,H8,H6,H5)</f>
        <v>0</v>
      </c>
    </row>
    <row r="24" spans="1:9" ht="17" customHeight="1" thickBot="1" x14ac:dyDescent="0.2">
      <c r="A24" s="105">
        <f>IF(OR(D5=0, D5=""), IF(OR(D6=0, D6=""),  0, 36 / 60), 36/ 60)</f>
        <v>0</v>
      </c>
      <c r="B24" s="104">
        <f>IF(OR(D8=0, D8=""), IF(OR(D9=0, D9=""),  0, 36/60), 36/60)</f>
        <v>0</v>
      </c>
      <c r="C24" s="104">
        <f>IF(OR(D11=0, D11=""), IF(OR(D12=0, D12=""),  0, 36/60), 36/60)</f>
        <v>0</v>
      </c>
      <c r="D24" s="104">
        <f>IF(OR(D14=0, D14=""), IF(OR(D15=0, D15=""),  0, 36/ 60), 36/60)</f>
        <v>0</v>
      </c>
      <c r="E24" s="104">
        <f>IF(OR(D17=0, D17=""), IF(OR(D18=0, D18=""),  0, 36/ 60), 36/60)</f>
        <v>0</v>
      </c>
      <c r="F24" s="104">
        <f>IF(OR(D20=0, D20=""), IF(OR(D21=0, D21=""),  0, 36/60), 36/60)</f>
        <v>0</v>
      </c>
      <c r="G24" s="103"/>
      <c r="H24" s="33"/>
    </row>
    <row r="25" spans="1:9" s="3" customFormat="1" ht="16" x14ac:dyDescent="0.15">
      <c r="A25" s="34"/>
      <c r="B25" s="112">
        <f ca="1">IF(F5&gt;8 / 24,F6+F5-8 / 24,0 /24)</f>
        <v>0</v>
      </c>
      <c r="C25" s="32"/>
      <c r="D25" s="35" t="s">
        <v>5</v>
      </c>
      <c r="E25" s="36"/>
      <c r="F25" s="37" t="s">
        <v>35</v>
      </c>
      <c r="G25" s="37"/>
      <c r="H25" s="125"/>
    </row>
    <row r="26" spans="1:9" ht="17" customHeight="1" x14ac:dyDescent="0.15">
      <c r="A26" s="34"/>
      <c r="B26" s="112">
        <f ca="1">IF(F8&gt;8 / 24,F9+F8-8 / 24,0 /24)</f>
        <v>0</v>
      </c>
      <c r="C26" s="32"/>
      <c r="D26" s="38" t="s">
        <v>1</v>
      </c>
      <c r="E26" s="39"/>
      <c r="F26" s="40">
        <v>855.5</v>
      </c>
      <c r="G26" s="40"/>
      <c r="H26" s="126"/>
    </row>
    <row r="27" spans="1:9" ht="17" customHeight="1" thickBot="1" x14ac:dyDescent="0.2">
      <c r="A27" s="34"/>
      <c r="B27" s="112">
        <f ca="1">IF(F11&gt;8 / 24,F12+F11-8 / 24,0 /24)</f>
        <v>0</v>
      </c>
      <c r="C27" s="32"/>
      <c r="D27" s="41" t="s">
        <v>4</v>
      </c>
      <c r="E27" s="42"/>
      <c r="F27" s="43">
        <f>+F26/35</f>
        <v>24.442857142857143</v>
      </c>
      <c r="G27" s="43">
        <f>+G26/35</f>
        <v>0</v>
      </c>
      <c r="H27" s="127">
        <f>+H26/35</f>
        <v>0</v>
      </c>
    </row>
    <row r="28" spans="1:9" ht="17" customHeight="1" x14ac:dyDescent="0.15">
      <c r="A28" s="44"/>
      <c r="B28" s="112">
        <f ca="1">IF(F14&gt;8 / 24,F15+F14-8 / 24,0 /24)</f>
        <v>0</v>
      </c>
      <c r="C28" s="45"/>
      <c r="D28" s="46" t="s">
        <v>0</v>
      </c>
      <c r="E28" s="47">
        <f>IF(E23&gt;35 / 24,35 / 24,E23)</f>
        <v>0</v>
      </c>
      <c r="F28" s="48">
        <f>(F27*E28)*24</f>
        <v>0</v>
      </c>
      <c r="G28" s="48">
        <f>(G27*E28)*24</f>
        <v>0</v>
      </c>
      <c r="H28" s="114">
        <f>(H27*E28)*24</f>
        <v>0</v>
      </c>
    </row>
    <row r="29" spans="1:9" s="3" customFormat="1" ht="17" customHeight="1" x14ac:dyDescent="0.15">
      <c r="A29" s="44"/>
      <c r="B29" s="112">
        <f>IF(F17&gt;8 / 24,F18+F17-8 / 24,0 /24)</f>
        <v>0</v>
      </c>
      <c r="C29" s="49" t="s">
        <v>20</v>
      </c>
      <c r="D29" s="50" t="s">
        <v>6</v>
      </c>
      <c r="E29" s="51">
        <f>IF(E23&gt;35 / 24,IF(E23&lt;43 / 24,E23-35 / 24,8 / 24),0 / 24)</f>
        <v>0</v>
      </c>
      <c r="F29" s="52">
        <f>((F27*E29)*24)*1.25</f>
        <v>0</v>
      </c>
      <c r="G29" s="52">
        <f>((G27*E29)*24)*1.25</f>
        <v>0</v>
      </c>
      <c r="H29" s="115">
        <f>((H27*E29)*24)*1.25</f>
        <v>0</v>
      </c>
    </row>
    <row r="30" spans="1:9" s="3" customFormat="1" ht="17" customHeight="1" x14ac:dyDescent="0.15">
      <c r="A30" s="44"/>
      <c r="B30" s="112">
        <f ca="1">IF(F20&gt;8 / 24,F21+F20-8 / 24,0 /24)</f>
        <v>0</v>
      </c>
      <c r="C30" s="53" t="s">
        <v>23</v>
      </c>
      <c r="D30" s="54" t="s">
        <v>7</v>
      </c>
      <c r="E30" s="55">
        <f>IF(E23&gt;48 / 24,5 / 24,IF(E23&gt;43 / 24,E23-43 / 24,0 / 24))</f>
        <v>0</v>
      </c>
      <c r="F30" s="56">
        <f>((F27*E30)*24)*1.5</f>
        <v>0</v>
      </c>
      <c r="G30" s="56">
        <f>((G27*E30)*24)*1.5</f>
        <v>0</v>
      </c>
      <c r="H30" s="116">
        <f>((H27*E30)*24)*1.5</f>
        <v>0</v>
      </c>
    </row>
    <row r="31" spans="1:9" s="3" customFormat="1" ht="17" customHeight="1" x14ac:dyDescent="0.15">
      <c r="A31" s="44"/>
      <c r="B31" s="99"/>
      <c r="C31" s="49" t="s">
        <v>24</v>
      </c>
      <c r="D31" s="50" t="s">
        <v>21</v>
      </c>
      <c r="E31" s="51">
        <f>IF(E23&gt;48 / 24,E23- 48 / 24,0 /24)</f>
        <v>0</v>
      </c>
      <c r="F31" s="52">
        <f>((F27*E31)*24)*1.75</f>
        <v>0</v>
      </c>
      <c r="G31" s="52">
        <f>((G27*E31)*24)*1.75</f>
        <v>0</v>
      </c>
      <c r="H31" s="115">
        <f>((H27*E31)*24)*1.75</f>
        <v>0</v>
      </c>
    </row>
    <row r="32" spans="1:9" s="3" customFormat="1" ht="17" customHeight="1" x14ac:dyDescent="0.15">
      <c r="A32" s="44"/>
      <c r="B32" s="100"/>
      <c r="C32" s="57"/>
      <c r="D32" s="58" t="s">
        <v>22</v>
      </c>
      <c r="E32" s="59">
        <f>G22</f>
        <v>0</v>
      </c>
      <c r="F32" s="60">
        <f>(F27*E32)*24</f>
        <v>0</v>
      </c>
      <c r="G32" s="60">
        <f>(G27*E32)*24</f>
        <v>0</v>
      </c>
      <c r="H32" s="117">
        <f>(H27*E32)*24</f>
        <v>0</v>
      </c>
    </row>
    <row r="33" spans="1:8" s="3" customFormat="1" ht="17" customHeight="1" thickBot="1" x14ac:dyDescent="0.2">
      <c r="A33" s="44"/>
      <c r="B33" s="61" t="s">
        <v>26</v>
      </c>
      <c r="C33" s="62"/>
      <c r="D33" s="63" t="s">
        <v>27</v>
      </c>
      <c r="E33" s="64">
        <f ca="1">SUM(F23+B25,B26,B27,B28,B29,B30)</f>
        <v>0</v>
      </c>
      <c r="F33" s="65">
        <f ca="1">((F27*E33)*24)*0.5</f>
        <v>0</v>
      </c>
      <c r="G33" s="65">
        <f ca="1">((G27*E33)*24)*0.5</f>
        <v>0</v>
      </c>
      <c r="H33" s="118">
        <f ca="1">((H27*E33)*24)*0.5</f>
        <v>0</v>
      </c>
    </row>
    <row r="34" spans="1:8" s="3" customFormat="1" ht="17" customHeight="1" x14ac:dyDescent="0.15">
      <c r="A34" s="44"/>
      <c r="B34" s="66" t="s">
        <v>9</v>
      </c>
      <c r="C34" s="67"/>
      <c r="D34" s="68" t="s">
        <v>29</v>
      </c>
      <c r="E34" s="69">
        <f>G23</f>
        <v>0</v>
      </c>
      <c r="F34" s="70">
        <f>(F27*E34)*24</f>
        <v>0</v>
      </c>
      <c r="G34" s="70">
        <f>(G27*E34)*24</f>
        <v>0</v>
      </c>
      <c r="H34" s="119">
        <f>(H27*E34)*24</f>
        <v>0</v>
      </c>
    </row>
    <row r="35" spans="1:8" s="3" customFormat="1" ht="17" customHeight="1" x14ac:dyDescent="0.15">
      <c r="A35" s="44"/>
      <c r="B35" s="71">
        <f ca="1">IF(TODAY()&gt;DATE(YEAR(TODAY()),3,31),IF(TODAY()&lt;DATE(YEAR(TODAY()),10,1),22 / 24,20 / 24),20 /24)</f>
        <v>0.83333333333333337</v>
      </c>
      <c r="C35" s="120"/>
      <c r="D35" s="63" t="s">
        <v>25</v>
      </c>
      <c r="E35" s="64">
        <f>H23</f>
        <v>0</v>
      </c>
      <c r="F35" s="65">
        <f>(F27*E35)*24</f>
        <v>0</v>
      </c>
      <c r="G35" s="65">
        <f>(G27*E35)*24</f>
        <v>0</v>
      </c>
      <c r="H35" s="118">
        <f>(G27*E35)*24</f>
        <v>0</v>
      </c>
    </row>
    <row r="36" spans="1:8" s="3" customFormat="1" ht="17" customHeight="1" x14ac:dyDescent="0.15">
      <c r="A36" s="72"/>
      <c r="B36" s="73" t="s">
        <v>8</v>
      </c>
      <c r="C36" s="183"/>
      <c r="D36" s="68" t="s">
        <v>68</v>
      </c>
      <c r="E36" s="69">
        <f>SUM(E6,E9,E12,E15,E18,E21)</f>
        <v>0</v>
      </c>
      <c r="F36" s="70">
        <f>(F27*E36)*24</f>
        <v>0</v>
      </c>
      <c r="G36" s="70">
        <f>(G27*E36)*24</f>
        <v>0</v>
      </c>
      <c r="H36" s="119">
        <f>(H27*E36)*24</f>
        <v>0</v>
      </c>
    </row>
    <row r="37" spans="1:8" s="3" customFormat="1" ht="17" customHeight="1" thickBot="1" x14ac:dyDescent="0.2">
      <c r="A37" s="72" t="s">
        <v>15</v>
      </c>
      <c r="B37" s="75">
        <v>0.25</v>
      </c>
      <c r="C37" s="62"/>
      <c r="D37" s="63" t="s">
        <v>3</v>
      </c>
      <c r="E37" s="64">
        <v>0</v>
      </c>
      <c r="F37" s="65">
        <f>(F27*E37)*24</f>
        <v>0</v>
      </c>
      <c r="G37" s="65">
        <f>(G27*E37)*24</f>
        <v>0</v>
      </c>
      <c r="H37" s="118">
        <f>(H27*E37)*24</f>
        <v>0</v>
      </c>
    </row>
    <row r="38" spans="1:8" ht="17" customHeight="1" x14ac:dyDescent="0.15">
      <c r="A38" s="72" t="s">
        <v>57</v>
      </c>
      <c r="B38" s="110"/>
      <c r="C38" s="74"/>
      <c r="D38" s="68" t="s">
        <v>38</v>
      </c>
      <c r="E38" s="69">
        <f>IF(B7&lt;&gt;"",E5,IF(B10&lt;&gt;"",E8,IF(B13&lt;&gt;"",E11,IF(B16&lt;&gt;"",E14,IF(B19&lt;&gt;"",E17,IF(B22&lt;&gt;"",E20, 0))))))</f>
        <v>0</v>
      </c>
      <c r="F38" s="70">
        <f>(F27*E38)*24</f>
        <v>0</v>
      </c>
      <c r="G38" s="70">
        <v>0</v>
      </c>
      <c r="H38" s="119">
        <v>0</v>
      </c>
    </row>
    <row r="39" spans="1:8" ht="17" thickBot="1" x14ac:dyDescent="0.2">
      <c r="A39" s="102" t="s">
        <v>34</v>
      </c>
      <c r="B39" s="110"/>
      <c r="C39" s="187"/>
      <c r="D39" s="188" t="s">
        <v>33</v>
      </c>
      <c r="E39" s="210">
        <f>-IF(AND(A24=0.6, B24 = 0.6, C24=0.6, D24=0.6, E24 = 0.6, F24 = 0.6), 4/24, (SUM(A24,B24,C24,D24,E24,F24,)/24))</f>
        <v>0</v>
      </c>
      <c r="F39" s="189">
        <f>(F27*E39)*24</f>
        <v>0</v>
      </c>
      <c r="G39" s="189">
        <f>(G27*E39)*24</f>
        <v>0</v>
      </c>
      <c r="H39" s="190">
        <f>(H27*E39)*24</f>
        <v>0</v>
      </c>
    </row>
    <row r="40" spans="1:8" ht="17" thickBot="1" x14ac:dyDescent="0.2">
      <c r="A40" s="111"/>
      <c r="B40" s="109"/>
      <c r="C40" s="207"/>
      <c r="D40" s="121" t="s">
        <v>19</v>
      </c>
      <c r="E40" s="122">
        <f>IF(E39=-0.125, (IF(E23&lt;(46/24), 43/24,SUM(E23,E39))),SUM(E23,E39))</f>
        <v>0</v>
      </c>
      <c r="F40" s="123">
        <f ca="1">SUM(F28:F38)</f>
        <v>0</v>
      </c>
      <c r="G40" s="123">
        <f ca="1">SUM(G28:G39)</f>
        <v>0</v>
      </c>
      <c r="H40" s="124">
        <f ca="1">SUM(H28:H39)</f>
        <v>0</v>
      </c>
    </row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I40"/>
  <sheetViews>
    <sheetView zoomScaleNormal="100" workbookViewId="0">
      <selection activeCell="H11" sqref="H11"/>
    </sheetView>
  </sheetViews>
  <sheetFormatPr baseColWidth="10" defaultColWidth="10.83203125" defaultRowHeight="12" x14ac:dyDescent="0.15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 x14ac:dyDescent="0.15">
      <c r="A1" s="76" t="s">
        <v>13</v>
      </c>
      <c r="B1" s="28" t="str">
        <f>'1er Ass'!B1</f>
        <v>"Production"</v>
      </c>
      <c r="C1" s="29"/>
      <c r="D1" s="77" t="str">
        <f>'1er Ass'!D1</f>
        <v>Semaine N°</v>
      </c>
      <c r="E1" s="7" t="s">
        <v>11</v>
      </c>
      <c r="F1" s="170" t="str">
        <f>'1er Ass'!F1</f>
        <v>Caméra</v>
      </c>
      <c r="G1" s="28"/>
      <c r="H1" s="78"/>
    </row>
    <row r="2" spans="1:9" ht="20" customHeight="1" x14ac:dyDescent="0.15">
      <c r="A2" s="79" t="s">
        <v>14</v>
      </c>
      <c r="B2" s="80" t="str">
        <f>'1er Ass'!B2</f>
        <v>"Film"</v>
      </c>
      <c r="C2" s="81" t="s">
        <v>62</v>
      </c>
      <c r="D2" s="113">
        <f>'1er Ass'!D2</f>
        <v>43102</v>
      </c>
      <c r="E2" s="83" t="s">
        <v>12</v>
      </c>
      <c r="F2" s="80" t="s">
        <v>42</v>
      </c>
      <c r="G2" s="80"/>
      <c r="H2" s="84"/>
    </row>
    <row r="3" spans="1:9" ht="20" customHeight="1" thickBot="1" x14ac:dyDescent="0.2">
      <c r="A3" s="79"/>
      <c r="B3" s="30"/>
      <c r="C3" s="81" t="s">
        <v>63</v>
      </c>
      <c r="D3" s="85">
        <f>'1er Ass'!D3</f>
        <v>43106</v>
      </c>
      <c r="E3" s="8"/>
      <c r="F3" s="31"/>
      <c r="G3" s="31"/>
      <c r="H3" s="86"/>
    </row>
    <row r="4" spans="1:9" ht="50" customHeight="1" x14ac:dyDescent="0.15">
      <c r="A4" s="16" t="s">
        <v>2</v>
      </c>
      <c r="B4" s="6" t="s">
        <v>37</v>
      </c>
      <c r="C4" s="6" t="s">
        <v>58</v>
      </c>
      <c r="D4" s="18" t="s">
        <v>16</v>
      </c>
      <c r="E4" s="18" t="s">
        <v>69</v>
      </c>
      <c r="F4" s="18" t="s">
        <v>10</v>
      </c>
      <c r="G4" s="19" t="s">
        <v>17</v>
      </c>
      <c r="H4" s="20" t="s">
        <v>28</v>
      </c>
    </row>
    <row r="5" spans="1:9" s="3" customFormat="1" ht="23" customHeight="1" x14ac:dyDescent="0.15">
      <c r="A5" s="87" t="str">
        <f>CHOOSE(WEEKDAY(A6,2),"LUNDI","MARDI","MERCREDI","JEUDI","VENDREDI","SAMEDI","DIMANCHE")</f>
        <v>LUNDI</v>
      </c>
      <c r="B5" s="88" t="str">
        <f>IF(OR(C5&lt;&gt;0, C6 &lt;&gt;0,), IF(MOD(C6-C5, 1) &lt; 0.041, "(pause réduite)", ""), "")</f>
        <v/>
      </c>
      <c r="C5" s="174">
        <f>'1er Ass'!C5</f>
        <v>0</v>
      </c>
      <c r="D5" s="89">
        <f>'1er Ass'!D5</f>
        <v>0</v>
      </c>
      <c r="E5" s="88">
        <f>IF(D5= "",0/24,((MOD(D6-D5,1))-MOD(C6-C5,1)))</f>
        <v>0</v>
      </c>
      <c r="F5" s="9">
        <f ca="1">IF(AND(D5&gt;=D6,D5&lt;=Deb,D5&lt;&gt;0,D6&lt;&gt;" "),MOD(Fin-Deb,1)-IF(D6&lt;=Fin,Fin-D6)+IF(D5&lt;=Fin,Fin-D5),IF(AND(D5&gt;=D6,D5&gt;Deb,D5&lt;&gt;0,D6&lt;&gt;0),MOD(Fin-Deb,1)-(D5-Deb)+IF(D6&gt;=Deb,D6-Deb)-IF(D6&lt;Fin,Fin-D6),IF(AND(D5&lt;D6,ISNUMBER(D5),D6&lt;&gt;0),0+IF(AND(D5&lt;=Fin,D6&lt;=Fin),D6-D5)+IF(AND(D5&lt;=Fin,D6&gt;Fin),Fin-D5)+IF(D6&gt;=Deb,D6-D5-IF(D5&lt;=Deb,Deb-D5)),0)))</f>
        <v>0</v>
      </c>
      <c r="G5" s="9">
        <v>0</v>
      </c>
      <c r="H5" s="177">
        <f>'1er Ass'!H5</f>
        <v>0</v>
      </c>
    </row>
    <row r="6" spans="1:9" ht="17" customHeight="1" x14ac:dyDescent="0.15">
      <c r="A6" s="90">
        <f>D2</f>
        <v>43102</v>
      </c>
      <c r="B6" s="91" t="str">
        <f>IF(E6=0 / 24, "","(journée continue)")</f>
        <v/>
      </c>
      <c r="C6" s="174">
        <f>'1er Ass'!C6</f>
        <v>0</v>
      </c>
      <c r="D6" s="89">
        <f>'1er Ass'!D6</f>
        <v>0</v>
      </c>
      <c r="E6" s="208">
        <f>SUM(D7,E7)</f>
        <v>0</v>
      </c>
      <c r="F6" s="9">
        <f ca="1">IF(C6&gt;Deb,-1/24,IF(C6&gt;(Deb-1/24),-((C6+1/24)-Deb),0 / 24))</f>
        <v>0</v>
      </c>
      <c r="G6" s="21"/>
      <c r="H6" s="22"/>
      <c r="I6" s="107"/>
    </row>
    <row r="7" spans="1:9" ht="17" customHeight="1" x14ac:dyDescent="0.15">
      <c r="A7" s="92"/>
      <c r="B7" s="93" t="str">
        <f>IF(A6 &lt;&gt; "", IF(A5="DIMANCHE", "(majoration dimanche)", ""), "")</f>
        <v/>
      </c>
      <c r="C7" s="94">
        <f>IF(C6 = C5, (MOD(D6-D5,1)),0)</f>
        <v>0</v>
      </c>
      <c r="D7" s="95">
        <f>IF(C5=0 / 24,0,IF((MOD(C5-D5,1))&lt;6.05 / 24,0,0.5 / 24))</f>
        <v>0</v>
      </c>
      <c r="E7" s="96">
        <f>IF(C7&gt;(6.05 / 24),0.5 / 24,(IF(C5 = C6, IF(MOD(D6-D5, 1) &lt;6.05/24, 0, 0.5/24), IF((MOD(D6-C6,1))&lt;6.05/24,0,0.5/24))))</f>
        <v>0</v>
      </c>
      <c r="F7" s="23" t="str">
        <f ca="1">IF(F6=0 / 24," ","(minoration repas nuit)")</f>
        <v xml:space="preserve"> </v>
      </c>
      <c r="G7" s="25"/>
      <c r="H7" s="26">
        <f>IF((E5+E6)&lt;10/24,0/24,(E5+E6)-10/24)</f>
        <v>0</v>
      </c>
    </row>
    <row r="8" spans="1:9" ht="17" customHeight="1" x14ac:dyDescent="0.15">
      <c r="A8" s="87" t="str">
        <f>CHOOSE(WEEKDAY(A6+1,2),"LUNDI","MARDI","MERCREDI","JEUDI","VENDREDI","SAMEDI","DIMANCHE")</f>
        <v>MARDI</v>
      </c>
      <c r="B8" s="97" t="str">
        <f>IF(OR(C8&lt;&gt;0, C9 &lt;&gt;0,), IF(MOD(C9-C8, 1) &lt; 0.041, "(pause réduite)", ""), "")</f>
        <v/>
      </c>
      <c r="C8" s="174">
        <f>'1er Ass'!C8</f>
        <v>0</v>
      </c>
      <c r="D8" s="89">
        <f>'1er Ass'!D8</f>
        <v>0</v>
      </c>
      <c r="E8" s="88">
        <f>IF(D8= "",0/24,((MOD(D9-D8,1))-MOD(C9-C8,1)))</f>
        <v>0</v>
      </c>
      <c r="F8" s="9">
        <f ca="1">IF(AND(D8&gt;=D9,D8&lt;=Deb,D8&lt;&gt;0,D9&lt;&gt;" "),MOD(Fin-Deb,1)-IF(D9&lt;=Fin,Fin-D9)+IF(D8&lt;=Fin,Fin-D8),IF(AND(D8&gt;=D9,D8&gt;Deb,D8&lt;&gt;0,D9&lt;&gt;0),MOD(Fin-Deb,1)-(D8-Deb)+IF(D9&gt;=Deb,D9-Deb)-IF(D9&lt;Fin,Fin-D9),IF(AND(D8&lt;D9,ISNUMBER(D8),D9&lt;&gt;0),0+IF(AND(D8&lt;=Fin,D9&lt;=Fin),D9-D8)+IF(AND(D8&lt;=Fin,D9&gt;Fin),Fin-D8)+IF(D9&gt;=Deb,D9-D8-IF(D8&lt;=Deb,Deb-D8)),0)))</f>
        <v>0</v>
      </c>
      <c r="G8" s="9">
        <f>IF(AND(D5=0, D6=0), 0/24, (IF(D8=0/24,0/24,IF((MOD(D8-D6,1))&gt;=11/24,0/24,11/24-(MOD(D8-D6,1))))))</f>
        <v>0</v>
      </c>
      <c r="H8" s="177">
        <f>'1er Ass'!H8</f>
        <v>0</v>
      </c>
    </row>
    <row r="9" spans="1:9" ht="17" customHeight="1" x14ac:dyDescent="0.15">
      <c r="A9" s="90">
        <f>IF(AND(DATE(YEAR(D2),MONTH(D2),DAY(D2))&lt;DATE(YEAR(D3),MONTH(D3),DAY(D3)), A6&lt;&gt;""),DATE(YEAR(D2),MONTH(D2),DAY(D2)+1),"")</f>
        <v>43103</v>
      </c>
      <c r="B9" s="4" t="str">
        <f>IF(E9=0 / 24, "","(journée continue)")</f>
        <v/>
      </c>
      <c r="C9" s="174">
        <f>'1er Ass'!C9</f>
        <v>0</v>
      </c>
      <c r="D9" s="89">
        <f>'1er Ass'!D9</f>
        <v>0</v>
      </c>
      <c r="E9" s="208">
        <f>SUM(D10,E10)</f>
        <v>0</v>
      </c>
      <c r="F9" s="9">
        <f ca="1">IF(C9&gt;Deb,-1/24,IF(C9&gt;(Deb-1/24),-((C9+1/24)-Deb),0 / 24))</f>
        <v>0</v>
      </c>
      <c r="G9" s="21"/>
      <c r="H9" s="22"/>
    </row>
    <row r="10" spans="1:9" ht="17" customHeight="1" x14ac:dyDescent="0.15">
      <c r="A10" s="92"/>
      <c r="B10" s="93" t="str">
        <f>IF(A9 &lt;&gt; "", IF(A8="DIMANCHE", "(majoration dimanche)", ""), "")</f>
        <v/>
      </c>
      <c r="C10" s="94">
        <f>IF(C9 = C8, (MOD(D9-D8,1)),0)</f>
        <v>0</v>
      </c>
      <c r="D10" s="95">
        <f>IF(C8=0 / 24,0,IF((MOD(C8-D8,1))&lt;6.05 / 24,0,0.5 / 24))</f>
        <v>0</v>
      </c>
      <c r="E10" s="94">
        <f>IF(C10&gt;(6.05 / 24),0.5 / 24,(IF(C8 = C9, IF(MOD(D9-D8, 1) &lt;6.05/24, 0, 0.5/24), IF((MOD(D9-C9,1))&lt;6.05/24,0,0.5/24))))</f>
        <v>0</v>
      </c>
      <c r="F10" s="23" t="str">
        <f ca="1">IF(F9=0 / 24," ","(minoration repas nuit)")</f>
        <v xml:space="preserve"> </v>
      </c>
      <c r="G10" s="25"/>
      <c r="H10" s="26">
        <f>IF((E8+E9)&lt;10/24,0/24,(E8+E9)-10/24)</f>
        <v>0</v>
      </c>
    </row>
    <row r="11" spans="1:9" ht="17" customHeight="1" x14ac:dyDescent="0.2">
      <c r="A11" s="87" t="str">
        <f>CHOOSE(WEEKDAY(A6+2,2),"LUNDI","MARDI","MERCREDI","JEUDI","VENDREDI","SAMEDI","DIMANCHE")</f>
        <v>MERCREDI</v>
      </c>
      <c r="B11" s="97" t="str">
        <f>IF(OR(C11&lt;&gt;0, C12 &lt;&gt;0,), IF(MOD(C12-C11, 1) &lt; 0.041, "(pause réduite)", ""), "")</f>
        <v/>
      </c>
      <c r="C11" s="174">
        <f>'1er Ass'!C11</f>
        <v>0</v>
      </c>
      <c r="D11" s="89">
        <f>'1er Ass'!D11</f>
        <v>0</v>
      </c>
      <c r="E11" s="88">
        <f>IF(D11= "",0/24,((MOD(D12-D11,1))-MOD(C12-C11,1)))</f>
        <v>0</v>
      </c>
      <c r="F11" s="9">
        <f ca="1">IF(AND(D11&gt;=D12,D11&lt;=Deb,D11&lt;&gt;0,D12&lt;&gt;" "),MOD(Fin-Deb,1)-IF(D12&lt;=Fin,Fin-D12)+IF(D11&lt;=Fin,Fin-D11),IF(AND(D11&gt;=D12,D11&gt;Deb,D11&lt;&gt;0,D12&lt;&gt;0),MOD(Fin-Deb,1)-(D11-Deb)+IF(D12&gt;=Deb,D12-Deb)-IF(D12&lt;Fin,Fin-D12),IF(AND(D11&lt;D12,ISNUMBER(D11),D12&lt;&gt;0),0+IF(AND(D11&lt;=Fin,D12&lt;=Fin),D12-D11)+IF(AND(D11&lt;=Fin,D12&gt;Fin),Fin-D11)+IF(D12&gt;=Deb,D12-D11-IF(D11&lt;=Deb,Deb-D11)),0)))</f>
        <v>0</v>
      </c>
      <c r="G11" s="101">
        <f>IF(AND(D8=0, D9=0), 0/24, (IF(D11=0/24,0/24,IF((MOD(D11-D9,1))&gt;=11/24,0/24,11/24-(MOD(D11-D9,1))))))</f>
        <v>0</v>
      </c>
      <c r="H11" s="177">
        <f>'1er Ass'!H11</f>
        <v>0</v>
      </c>
    </row>
    <row r="12" spans="1:9" ht="17" customHeight="1" x14ac:dyDescent="0.15">
      <c r="A12" s="90">
        <f>IF(AND(DATE(YEAR(A9),MONTH(A9),DAY(A9))&lt;DATE(YEAR(D3),MONTH(D3),DAY(D3)), A9&lt;&gt;""),DATE(YEAR(D2),MONTH(D2),DAY(D2)+2), "")</f>
        <v>43104</v>
      </c>
      <c r="B12" s="4" t="str">
        <f>IF(E12=0 / 24, "","(journée continue)")</f>
        <v/>
      </c>
      <c r="C12" s="174">
        <f>'1er Ass'!C12</f>
        <v>0</v>
      </c>
      <c r="D12" s="98">
        <f>'1er Ass'!D12</f>
        <v>0</v>
      </c>
      <c r="E12" s="208">
        <f>SUM(D13,E13)</f>
        <v>0</v>
      </c>
      <c r="F12" s="9">
        <f ca="1">IF(C12&gt;Deb,-1/24,IF(C12&gt;(Deb-1/24),-((C12+1/24)-Deb),0 / 24))</f>
        <v>0</v>
      </c>
      <c r="G12" s="9"/>
      <c r="H12" s="22"/>
    </row>
    <row r="13" spans="1:9" ht="17" customHeight="1" x14ac:dyDescent="0.15">
      <c r="A13" s="92"/>
      <c r="B13" s="5" t="str">
        <f>IF(A12 &lt;&gt; "", IF(A11="DIMANCHE", "(majoration dimanche)", ""), "")</f>
        <v/>
      </c>
      <c r="C13" s="94">
        <f>IF(C12 = C11, (MOD(D12-D11,1)),0)</f>
        <v>0</v>
      </c>
      <c r="D13" s="95">
        <f>IF(C11=0 / 24,0,IF((MOD(C11-D11,1))&lt;6.05 / 24,0,0.5 / 24))</f>
        <v>0</v>
      </c>
      <c r="E13" s="96">
        <f>IF(C13&gt;(6.05 / 24),0.5 / 24,(IF(C11 = C12, IF(MOD(D12-D11, 1) &lt;6.05/24, 0, 0.5/24), IF((MOD(D12-C12,1))&lt;6.05/24,0,0.5/24))))</f>
        <v>0</v>
      </c>
      <c r="F13" s="23" t="str">
        <f ca="1">IF(F12=0 / 24," ","(minoration repas nuit)")</f>
        <v xml:space="preserve"> </v>
      </c>
      <c r="G13" s="25"/>
      <c r="H13" s="26">
        <f>IF((E11+E12)&lt;10/24,0/24,(E11+E12)-10/24)</f>
        <v>0</v>
      </c>
    </row>
    <row r="14" spans="1:9" ht="17" customHeight="1" x14ac:dyDescent="0.15">
      <c r="A14" s="87" t="str">
        <f>CHOOSE(WEEKDAY(A6+3,2),"LUNDI","MARDI","MERCREDI","JEUDI","VENDREDI","SAMEDI","DIMANCHE")</f>
        <v>JEUDI</v>
      </c>
      <c r="B14" s="97" t="str">
        <f>IF(OR(C14&lt;&gt;0, C15 &lt;&gt;0,), IF(MOD(C15-C14, 1) &lt; 0.041, "(pause réduite)", ""), "")</f>
        <v/>
      </c>
      <c r="C14" s="174">
        <f>'1er Ass'!C14</f>
        <v>0</v>
      </c>
      <c r="D14" s="89">
        <f>'1er Ass'!D14</f>
        <v>0</v>
      </c>
      <c r="E14" s="88">
        <f>IF(D14= "",0/24,((MOD(D15-D14,1))-MOD(C15-C14,1)))</f>
        <v>0</v>
      </c>
      <c r="F14" s="9">
        <f ca="1">IF(AND(D14&gt;=D15,D14&lt;=Deb,D14&lt;&gt;0,D15&lt;&gt;" "),MOD(Fin-Deb,1)-IF(D15&lt;=Fin,Fin-D15)+IF(D14&lt;=Fin,Fin-D14),IF(AND(D14&gt;=D15,D14&gt;Deb,D14&lt;&gt;0,D15&lt;&gt;0),MOD(Fin-Deb,1)-(D14-Deb)+IF(D15&gt;=Deb,D15-Deb)-IF(D15&lt;Fin,Fin-D15),IF(AND(D14&lt;D15,ISNUMBER(D14),D15&lt;&gt;0),0+IF(AND(D14&lt;=Fin,D15&lt;=Fin),D15-D14)+IF(AND(D14&lt;=Fin,D15&gt;Fin),Fin-D14)+IF(D15&gt;=Deb,D15-D14-IF(D14&lt;=Deb,Deb-D14)),0)))</f>
        <v>0</v>
      </c>
      <c r="G14" s="9">
        <f>IF(AND(D11=0, D12=0), 0/24, (IF(D14=0/24,0/24,IF((MOD(D14-D12,1))&gt;= 11/24, 0/24, (11/24- (MOD(D14-D12,1)))))))</f>
        <v>0</v>
      </c>
      <c r="H14" s="177">
        <f>'1er Ass'!H14</f>
        <v>0</v>
      </c>
    </row>
    <row r="15" spans="1:9" ht="17" customHeight="1" x14ac:dyDescent="0.15">
      <c r="A15" s="90">
        <f>IF(A12&lt;&gt; "", (IF(DATE(YEAR(A12),MONTH(A12),DAY(A12))&lt;DATE(YEAR(D3),MONTH(D3),DAY(D3)),DATE(YEAR(D2),MONTH(D2),(DAY(D2)+3)), "")), "")</f>
        <v>43105</v>
      </c>
      <c r="B15" s="4" t="str">
        <f>IF(E15=0 / 24, "","(journée continue)")</f>
        <v/>
      </c>
      <c r="C15" s="174">
        <f>'1er Ass'!C15</f>
        <v>0</v>
      </c>
      <c r="D15" s="89">
        <f>'1er Ass'!D15</f>
        <v>0</v>
      </c>
      <c r="E15" s="208">
        <f>SUM(D16,E16)</f>
        <v>0</v>
      </c>
      <c r="F15" s="9">
        <f ca="1">IF(C15&gt;Deb,-1/24,IF(C15&gt;(Deb-1/24),-((C15+1/24)-Deb),0 / 24))</f>
        <v>0</v>
      </c>
      <c r="G15" s="21"/>
      <c r="H15" s="22"/>
    </row>
    <row r="16" spans="1:9" ht="17" customHeight="1" x14ac:dyDescent="0.15">
      <c r="A16" s="92"/>
      <c r="B16" s="5" t="str">
        <f>IF(A15 &lt;&gt; "", IF(A14="DIMANCHE", "(majoration dimanche)", ""), "")</f>
        <v/>
      </c>
      <c r="C16" s="94">
        <f>IF(C14 = C15, (MOD(D15-D14,1)),0)</f>
        <v>0</v>
      </c>
      <c r="D16" s="95">
        <f>IF(C14=0 / 24,0,IF((MOD(C14-D14,1))&lt;6.05 / 24,0,0.5 / 24))</f>
        <v>0</v>
      </c>
      <c r="E16" s="96">
        <f>IF(C16&gt;(6.05 / 24),0.5 / 24,(IF(C15 = C14, IF(MOD(D15-D14, 1) &lt;6.05/24, 0, 0.5/24), IF((MOD(D15-C15,1))&lt;6.05/24,0,0.5/24))))</f>
        <v>0</v>
      </c>
      <c r="F16" s="23" t="str">
        <f ca="1">IF(F15=0 / 24," ","(minoration repas nuit)")</f>
        <v xml:space="preserve"> </v>
      </c>
      <c r="G16" s="25"/>
      <c r="H16" s="26">
        <f>IF((E14+E15)&lt;10/24,0/24,(E14+E15)-10/24)</f>
        <v>0</v>
      </c>
    </row>
    <row r="17" spans="1:9" ht="17" customHeight="1" x14ac:dyDescent="0.15">
      <c r="A17" s="87" t="str">
        <f>CHOOSE(WEEKDAY(A6+4,2),"LUNDI","MARDI","MERCREDI","JEUDI","VENDREDI","SAMEDI","DIMANCHE")</f>
        <v>VENDREDI</v>
      </c>
      <c r="B17" s="97" t="str">
        <f>IF(OR(C17&lt;&gt;0, C18 &lt;&gt;0,), IF(MOD(C18-C17, 1) &lt; 0.041, "(pause réduite)", ""), "")</f>
        <v/>
      </c>
      <c r="C17" s="174">
        <f>'1er Ass'!C17</f>
        <v>0</v>
      </c>
      <c r="D17" s="89">
        <f>'1er Ass'!D17</f>
        <v>0</v>
      </c>
      <c r="E17" s="88">
        <f>IF(D17="",0/24,((MOD(D18-D17,1))-MOD(C18-C17,1)))</f>
        <v>0</v>
      </c>
      <c r="F17" s="9">
        <f>IF(AND(ED1918,ISNUMBER(D17),D18&lt;&gt;0),0+IF(AND(D17&lt;=Fin,D18&lt;=Fin),D18-D17)+IF(AND(D17&lt;=Fin,D18&gt;Fin),Fin-D17)+IF(D18&gt;=Deb,D18-D17-IF(D17&lt;=Deb,Deb-D17)),0)</f>
        <v>0</v>
      </c>
      <c r="G17" s="9">
        <f>IF(AND(D14=0, D15=0), 0/24,(IF(D17=0/24,0/24,IF((MOD(D17-D15,1))&gt;= 11/24,0/24,11/24-(MOD(D17-D15,1))))))</f>
        <v>0</v>
      </c>
      <c r="H17" s="177">
        <f>'1er Ass'!H17</f>
        <v>0</v>
      </c>
    </row>
    <row r="18" spans="1:9" ht="17" customHeight="1" x14ac:dyDescent="0.15">
      <c r="A18" s="90">
        <f>IF(A15&lt;&gt; "", (IF(DATE(YEAR(A15),MONTH(A15),DAY(A15))&lt;DATE(YEAR(D3),MONTH(D3),DAY(D3)),DATE(YEAR(D2),MONTH(D2),(DAY(D2)+4)), "")), "")</f>
        <v>43106</v>
      </c>
      <c r="B18" s="4" t="str">
        <f>IF(E18=0 / 24, "","(journée continue)")</f>
        <v/>
      </c>
      <c r="C18" s="174">
        <f>'1er Ass'!C18</f>
        <v>0</v>
      </c>
      <c r="D18" s="89">
        <f>'1er Ass'!D18</f>
        <v>0</v>
      </c>
      <c r="E18" s="208">
        <f>SUM(D19,E19)</f>
        <v>0</v>
      </c>
      <c r="F18" s="9">
        <f ca="1">IF(C18&gt;Deb,-1/24,IF(C18&gt;(Deb-1/24),-((C18+1/24)-Deb),0 / 24))</f>
        <v>0</v>
      </c>
      <c r="G18" s="21"/>
      <c r="H18" s="22"/>
    </row>
    <row r="19" spans="1:9" ht="17" customHeight="1" x14ac:dyDescent="0.15">
      <c r="A19" s="165"/>
      <c r="B19" s="5" t="str">
        <f>IF(A18 &lt;&gt; "", IF(A17="DIMANCHE", "(majoration dimanche)", ""), "")</f>
        <v/>
      </c>
      <c r="C19" s="94">
        <f>IF(C17 = C18, (MOD(D18-D17,1)),0)</f>
        <v>0</v>
      </c>
      <c r="D19" s="95">
        <f>IF(C17=0 / 24,0,IF((MOD(C17-D17,1))&lt;6.05 / 24,0,0.5 / 24))</f>
        <v>0</v>
      </c>
      <c r="E19" s="96">
        <f>IF(C19&gt;(6.05 / 24),0.5 / 24,(IF(C17 = C18, IF(MOD(D18-D17, 1) &lt;6.05/24, 0, 0.5/24), IF((MOD(D18-C18,1))&lt;6.05/24,0,0.5/24))))</f>
        <v>0</v>
      </c>
      <c r="F19" s="23" t="str">
        <f ca="1">IF(F18=0 / 24," ","(minoration repas nuit)")</f>
        <v xml:space="preserve"> </v>
      </c>
      <c r="G19" s="25"/>
      <c r="H19" s="26">
        <f>IF((E17+E18)&lt;10/24,0/24,(E17+E18)-10/24)</f>
        <v>0</v>
      </c>
    </row>
    <row r="20" spans="1:9" ht="17" customHeight="1" x14ac:dyDescent="0.15">
      <c r="A20" s="87" t="str">
        <f>CHOOSE(WEEKDAY(A6+5,2),"LUNDI","MARDI","MERCREDI","JEUDI","VENDREDI","SAMEDI","DIMANCHE")</f>
        <v>SAMEDI</v>
      </c>
      <c r="B20" s="97" t="str">
        <f>IF(OR(C20&lt;&gt;0, C21 &lt;&gt;0,), IF(MOD(C21-C20, 1) &lt; 0.041, "(pause réduite)", ""), "")</f>
        <v/>
      </c>
      <c r="C20" s="174">
        <f>'1er Ass'!C20</f>
        <v>0</v>
      </c>
      <c r="D20" s="89">
        <f>'1er Ass'!D20</f>
        <v>0</v>
      </c>
      <c r="E20" s="88">
        <f>IF(D20= "",0/24,((MOD(D21-D20,1))-MOD(C21-C20,1)))</f>
        <v>0</v>
      </c>
      <c r="F20" s="9">
        <f ca="1">IF(AND(D20&gt;=D21,D20&lt;=Deb,D20&lt;&gt;0,D21&lt;&gt;" "),MOD(Fin-Deb,1)-IF(D21&lt;=Fin,Fin-D21)+IF(D20&lt;=Fin,Fin-D20),IF(AND(D20&gt;=D21,D20&gt;Deb,D20&lt;&gt;0,D21&lt;&gt;0),MOD(Fin-Deb,1)-(D20-Deb)+IF(D21&gt;=Deb,D21-Deb)-IF(D21&lt;Fin,Fin-D21),IF(AND(D20&lt;D21,ISNUMBER(D20),D21&lt;&gt;0),0+IF(AND(D20&lt;=Fin,D21&lt;=Fin),D21-D20)+IF(AND(D20&lt;=Fin,D21&gt;Fin),Fin-D20)+IF(D21&gt;=Deb,D21-D20-IF(D20&lt;=Deb,Deb-D20)),0)))</f>
        <v>0</v>
      </c>
      <c r="G20" s="9">
        <f>IF(AND(D17=0, D18=0), 0/24, (IF(D20=0/24,0/24,IF((MOD(D20-D18,1))&gt;= 11/24,0/24,11/24-(MOD(D20-D18,1))))))</f>
        <v>0</v>
      </c>
      <c r="H20" s="177">
        <f>'1er Ass'!H20</f>
        <v>0</v>
      </c>
      <c r="I20" s="107"/>
    </row>
    <row r="21" spans="1:9" ht="17" customHeight="1" x14ac:dyDescent="0.15">
      <c r="A21" s="9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74">
        <f>'1er Ass'!C21</f>
        <v>0</v>
      </c>
      <c r="D21" s="89">
        <f>'1er Ass'!D21</f>
        <v>0</v>
      </c>
      <c r="E21" s="208">
        <f>SUM(D22,E22)</f>
        <v>0</v>
      </c>
      <c r="F21" s="9">
        <f ca="1">IF(C21&gt;Deb,-1/24,IF(C21&gt;(Deb-1/24),-((C21+1/24)-Deb),0 / 24))</f>
        <v>0</v>
      </c>
      <c r="G21" s="21"/>
      <c r="H21" s="27"/>
    </row>
    <row r="22" spans="1:9" ht="17" customHeight="1" x14ac:dyDescent="0.15">
      <c r="A22" s="17"/>
      <c r="B22" s="5" t="str">
        <f>IF(A21&lt;&gt;"",IF(A20="DIMANCHE","(majoration dimanche)",""), "")</f>
        <v/>
      </c>
      <c r="C22" s="94">
        <f>IF(C20 = C21, (MOD(D21-D20,1)),0)</f>
        <v>0</v>
      </c>
      <c r="D22" s="95">
        <f>IF(C20=0 / 24,0,IF((MOD(C20-D20,1))&lt;6.05 / 24,0,0.5 / 24))</f>
        <v>0</v>
      </c>
      <c r="E22" s="96">
        <f>IF(C22&gt;(6.05 / 24),0.5 / 24,(IF(C21 = C20, IF(MOD(D21-D20, 1) &lt;6.05/24, 0, 0.5/24), IF((MOD(D21-C21,1))&lt;6.05/24,0,0.5/24))))</f>
        <v>0</v>
      </c>
      <c r="F22" s="23" t="str">
        <f ca="1">IF(F21=0 / 24," ","(minoration repas nuit)")</f>
        <v xml:space="preserve"> </v>
      </c>
      <c r="G22" s="24">
        <f>SUM(H22+H19+H16+H13+H10+H7)</f>
        <v>0</v>
      </c>
      <c r="H22" s="26">
        <f>IF((E20+E21)&lt;10/24,0/24,(E20+E21)-10/24)</f>
        <v>0</v>
      </c>
    </row>
    <row r="23" spans="1:9" ht="17" customHeight="1" thickBot="1" x14ac:dyDescent="0.2">
      <c r="A23" s="166"/>
      <c r="B23" s="108" t="str">
        <f>IF(OR(E5=0/24,E8=0/24,E11=0/24,E14=0/24,E17=0/24, E20=0/24,),"","(maj 100% 6ème jour+recup.)")</f>
        <v/>
      </c>
      <c r="C23" s="178"/>
      <c r="D23" s="179" t="s">
        <v>18</v>
      </c>
      <c r="E23" s="180">
        <f>SUM(E5,E8,E11,E14,E17,E20)</f>
        <v>0</v>
      </c>
      <c r="F23" s="180">
        <f ca="1">SUM(F5,F6,F8,F9,F11,F12,F14,F15,F17,F18,F20,F21)</f>
        <v>0</v>
      </c>
      <c r="G23" s="181">
        <f>SUM(G5:G21)</f>
        <v>0</v>
      </c>
      <c r="H23" s="182">
        <f>SUM(H21,H20,H18,H17,H15,H14,H12,H11,H9,H8,H6,H5)</f>
        <v>0</v>
      </c>
    </row>
    <row r="24" spans="1:9" ht="17" customHeight="1" thickBot="1" x14ac:dyDescent="0.2">
      <c r="A24" s="105">
        <f>IF(OR(D5=0, D5=""), IF(OR(D6=0, D6=""),  0, 36 / 60), 36/ 60)</f>
        <v>0</v>
      </c>
      <c r="B24" s="104">
        <f>IF(OR(D8=0, D8=""), IF(OR(D9=0, D9=""),  0, 36/60), 36/60)</f>
        <v>0</v>
      </c>
      <c r="C24" s="104">
        <f>IF(OR(D11=0, D11=""), IF(OR(D12=0, D12=""),  0, 36/60), 36/60)</f>
        <v>0</v>
      </c>
      <c r="D24" s="104">
        <f>IF(OR(D14=0, D14=""), IF(OR(D15=0, D15=""),  0, 36/ 60), 36/60)</f>
        <v>0</v>
      </c>
      <c r="E24" s="104">
        <f>IF(OR(D17=0, D17=""), IF(OR(D18=0, D18=""),  0, 36/ 60), 36/60)</f>
        <v>0</v>
      </c>
      <c r="F24" s="104">
        <f>IF(OR(D20=0, D20="",), IF(OR(D21=0, D21="",),  0, 36/60), 36/60)</f>
        <v>0</v>
      </c>
      <c r="G24" s="103"/>
      <c r="H24" s="33"/>
    </row>
    <row r="25" spans="1:9" s="3" customFormat="1" ht="16" x14ac:dyDescent="0.15">
      <c r="A25" s="34"/>
      <c r="B25" s="112">
        <f ca="1">IF(F5&gt;8 / 24,F6+F5-8 / 24,0 /24)</f>
        <v>0</v>
      </c>
      <c r="C25" s="32"/>
      <c r="D25" s="35" t="s">
        <v>5</v>
      </c>
      <c r="E25" s="36"/>
      <c r="F25" s="37" t="s">
        <v>32</v>
      </c>
      <c r="G25" s="37"/>
      <c r="H25" s="125"/>
    </row>
    <row r="26" spans="1:9" ht="17" customHeight="1" x14ac:dyDescent="0.15">
      <c r="A26" s="34"/>
      <c r="B26" s="112">
        <f ca="1">IF(F8&gt;8 / 24,F9+F8-8 / 24,0 /24)</f>
        <v>0</v>
      </c>
      <c r="C26" s="32"/>
      <c r="D26" s="38" t="s">
        <v>1</v>
      </c>
      <c r="E26" s="39"/>
      <c r="F26" s="40">
        <v>423.85</v>
      </c>
      <c r="G26" s="40"/>
      <c r="H26" s="126"/>
    </row>
    <row r="27" spans="1:9" ht="17" customHeight="1" thickBot="1" x14ac:dyDescent="0.2">
      <c r="A27" s="34"/>
      <c r="B27" s="112">
        <f ca="1">IF(F11&gt;8 / 24,F12+F11-8 / 24,0 /24)</f>
        <v>0</v>
      </c>
      <c r="C27" s="32"/>
      <c r="D27" s="41" t="s">
        <v>4</v>
      </c>
      <c r="E27" s="42"/>
      <c r="F27" s="43">
        <f>+F26/35</f>
        <v>12.110000000000001</v>
      </c>
      <c r="G27" s="43">
        <f>+G26/35</f>
        <v>0</v>
      </c>
      <c r="H27" s="127">
        <f>+H26/35</f>
        <v>0</v>
      </c>
    </row>
    <row r="28" spans="1:9" ht="17" customHeight="1" x14ac:dyDescent="0.15">
      <c r="A28" s="44"/>
      <c r="B28" s="112">
        <f ca="1">IF(F14&gt;8 / 24,F15+F14-8 / 24,0 /24)</f>
        <v>0</v>
      </c>
      <c r="C28" s="45"/>
      <c r="D28" s="46" t="s">
        <v>0</v>
      </c>
      <c r="E28" s="47">
        <f>IF(E23&gt;35 / 24,35 / 24,E23)</f>
        <v>0</v>
      </c>
      <c r="F28" s="48">
        <f>(F27*E28)*24</f>
        <v>0</v>
      </c>
      <c r="G28" s="48">
        <f>(G27*E28)*24</f>
        <v>0</v>
      </c>
      <c r="H28" s="114">
        <f>(H27*E28)*24</f>
        <v>0</v>
      </c>
    </row>
    <row r="29" spans="1:9" s="3" customFormat="1" ht="17" customHeight="1" x14ac:dyDescent="0.15">
      <c r="A29" s="44"/>
      <c r="B29" s="112">
        <f>IF(F17&gt;8 / 24,F18+F17-8 / 24,0 /24)</f>
        <v>0</v>
      </c>
      <c r="C29" s="49" t="s">
        <v>20</v>
      </c>
      <c r="D29" s="50" t="s">
        <v>6</v>
      </c>
      <c r="E29" s="51">
        <f>IF(E23&gt;35 / 24,IF(E23&lt;43 / 24,E23-35 / 24,8 / 24),0 / 24)</f>
        <v>0</v>
      </c>
      <c r="F29" s="52">
        <f>((F27*E29)*24)*1.25</f>
        <v>0</v>
      </c>
      <c r="G29" s="52">
        <f>((G27*E29)*24)*1.25</f>
        <v>0</v>
      </c>
      <c r="H29" s="115">
        <f>((H27*E29)*24)*1.25</f>
        <v>0</v>
      </c>
    </row>
    <row r="30" spans="1:9" s="3" customFormat="1" ht="17" customHeight="1" x14ac:dyDescent="0.15">
      <c r="A30" s="44"/>
      <c r="B30" s="112">
        <f ca="1">IF(F20&gt;8 / 24,F21+F20-8 / 24,0 /24)</f>
        <v>0</v>
      </c>
      <c r="C30" s="53" t="s">
        <v>23</v>
      </c>
      <c r="D30" s="54" t="s">
        <v>7</v>
      </c>
      <c r="E30" s="55">
        <f>IF(E23&gt;48 / 24,5 / 24,IF(E23&gt;43 / 24,E23-43 / 24,0 / 24))</f>
        <v>0</v>
      </c>
      <c r="F30" s="56">
        <f>((F27*E30)*24)*1.5</f>
        <v>0</v>
      </c>
      <c r="G30" s="56">
        <f>((G27*E30)*24)*1.5</f>
        <v>0</v>
      </c>
      <c r="H30" s="116">
        <f>((H27*E30)*24)*1.5</f>
        <v>0</v>
      </c>
    </row>
    <row r="31" spans="1:9" s="3" customFormat="1" ht="17" customHeight="1" x14ac:dyDescent="0.15">
      <c r="A31" s="44"/>
      <c r="B31" s="99"/>
      <c r="C31" s="49" t="s">
        <v>24</v>
      </c>
      <c r="D31" s="50" t="s">
        <v>21</v>
      </c>
      <c r="E31" s="51">
        <f>IF(E23&gt;48 / 24,E23- 48 / 24,0 /24)</f>
        <v>0</v>
      </c>
      <c r="F31" s="52">
        <f>((F27*E31)*24)*1.75</f>
        <v>0</v>
      </c>
      <c r="G31" s="52">
        <f>((G27*E31)*24)*1.75</f>
        <v>0</v>
      </c>
      <c r="H31" s="115">
        <f>((H27*E31)*24)*1.75</f>
        <v>0</v>
      </c>
    </row>
    <row r="32" spans="1:9" s="3" customFormat="1" ht="17" customHeight="1" x14ac:dyDescent="0.15">
      <c r="A32" s="44"/>
      <c r="B32" s="100"/>
      <c r="C32" s="57"/>
      <c r="D32" s="58" t="s">
        <v>22</v>
      </c>
      <c r="E32" s="59">
        <f>G22</f>
        <v>0</v>
      </c>
      <c r="F32" s="60">
        <f>(F27*E32)*24</f>
        <v>0</v>
      </c>
      <c r="G32" s="60">
        <f>(G27*E32)*24</f>
        <v>0</v>
      </c>
      <c r="H32" s="117">
        <f>(H27*E32)*24</f>
        <v>0</v>
      </c>
    </row>
    <row r="33" spans="1:8" s="3" customFormat="1" ht="17" customHeight="1" thickBot="1" x14ac:dyDescent="0.2">
      <c r="A33" s="44"/>
      <c r="B33" s="61" t="s">
        <v>26</v>
      </c>
      <c r="C33" s="62"/>
      <c r="D33" s="63" t="s">
        <v>27</v>
      </c>
      <c r="E33" s="64">
        <f ca="1">SUM(F23+B25,B26,B27,B28,B29,B30)</f>
        <v>0</v>
      </c>
      <c r="F33" s="65">
        <f ca="1">((F27*E33)*24)*0.5</f>
        <v>0</v>
      </c>
      <c r="G33" s="65">
        <f ca="1">((G27*E33)*24)*0.5</f>
        <v>0</v>
      </c>
      <c r="H33" s="118">
        <f ca="1">((H27*E33)*24)*0.5</f>
        <v>0</v>
      </c>
    </row>
    <row r="34" spans="1:8" s="3" customFormat="1" ht="17" customHeight="1" x14ac:dyDescent="0.15">
      <c r="A34" s="44"/>
      <c r="B34" s="66" t="s">
        <v>9</v>
      </c>
      <c r="C34" s="67"/>
      <c r="D34" s="68" t="s">
        <v>29</v>
      </c>
      <c r="E34" s="69">
        <f>G23</f>
        <v>0</v>
      </c>
      <c r="F34" s="70">
        <f>(F27*E34)*24</f>
        <v>0</v>
      </c>
      <c r="G34" s="70">
        <f>(G27*E34)*24</f>
        <v>0</v>
      </c>
      <c r="H34" s="119">
        <f>(H27*E34)*24</f>
        <v>0</v>
      </c>
    </row>
    <row r="35" spans="1:8" s="3" customFormat="1" ht="17" customHeight="1" x14ac:dyDescent="0.15">
      <c r="A35" s="44"/>
      <c r="B35" s="71">
        <f ca="1">IF(TODAY()&gt;DATE(YEAR(TODAY()),3,31),IF(TODAY()&lt;DATE(YEAR(TODAY()),10,1),22 / 24,20 / 24),20 /24)</f>
        <v>0.83333333333333337</v>
      </c>
      <c r="C35" s="120"/>
      <c r="D35" s="63" t="s">
        <v>25</v>
      </c>
      <c r="E35" s="64">
        <f>H23</f>
        <v>0</v>
      </c>
      <c r="F35" s="65">
        <f>(F27*E35)*24</f>
        <v>0</v>
      </c>
      <c r="G35" s="65">
        <f>(G27*E35)*24</f>
        <v>0</v>
      </c>
      <c r="H35" s="118">
        <f>(G27*E35)*24</f>
        <v>0</v>
      </c>
    </row>
    <row r="36" spans="1:8" s="3" customFormat="1" ht="17" customHeight="1" x14ac:dyDescent="0.15">
      <c r="A36" s="72"/>
      <c r="B36" s="73" t="s">
        <v>8</v>
      </c>
      <c r="C36" s="183"/>
      <c r="D36" s="68" t="s">
        <v>68</v>
      </c>
      <c r="E36" s="69">
        <f>SUM(E6,E9,E12,E15,E18,E21)</f>
        <v>0</v>
      </c>
      <c r="F36" s="70">
        <f>(F27*E36)*24</f>
        <v>0</v>
      </c>
      <c r="G36" s="70">
        <f>(G27*E36)*24</f>
        <v>0</v>
      </c>
      <c r="H36" s="119">
        <f>(H27*E36)*24</f>
        <v>0</v>
      </c>
    </row>
    <row r="37" spans="1:8" s="3" customFormat="1" ht="17" customHeight="1" thickBot="1" x14ac:dyDescent="0.2">
      <c r="A37" s="72" t="s">
        <v>15</v>
      </c>
      <c r="B37" s="75">
        <v>0.25</v>
      </c>
      <c r="C37" s="62"/>
      <c r="D37" s="63" t="s">
        <v>3</v>
      </c>
      <c r="E37" s="64">
        <v>0</v>
      </c>
      <c r="F37" s="65">
        <f>(F27*E37)*24</f>
        <v>0</v>
      </c>
      <c r="G37" s="65">
        <f>(G27*E37)*24</f>
        <v>0</v>
      </c>
      <c r="H37" s="118">
        <f>(H27*E37)*24</f>
        <v>0</v>
      </c>
    </row>
    <row r="38" spans="1:8" ht="17" customHeight="1" x14ac:dyDescent="0.15">
      <c r="A38" s="72" t="s">
        <v>57</v>
      </c>
      <c r="B38" s="110"/>
      <c r="C38" s="74"/>
      <c r="D38" s="68" t="s">
        <v>38</v>
      </c>
      <c r="E38" s="69">
        <f>IF(B7&lt;&gt;"",E5,IF(B10&lt;&gt;"",E8,IF(B13&lt;&gt;"",E11,IF(B16&lt;&gt;"",E14,IF(B19&lt;&gt;"",E17,IF(B22&lt;&gt;"",E20, 0))))))</f>
        <v>0</v>
      </c>
      <c r="F38" s="70">
        <f>(F27*E38)*24</f>
        <v>0</v>
      </c>
      <c r="G38" s="70">
        <v>0</v>
      </c>
      <c r="H38" s="119">
        <v>0</v>
      </c>
    </row>
    <row r="39" spans="1:8" ht="17" thickBot="1" x14ac:dyDescent="0.2">
      <c r="A39" s="102" t="s">
        <v>34</v>
      </c>
      <c r="B39" s="110"/>
      <c r="C39" s="187"/>
      <c r="D39" s="188" t="s">
        <v>33</v>
      </c>
      <c r="E39" s="210">
        <f>-IF(AND(A24=0.6, B24 = 0.6, C24=0.6, D24=0.6, E24 = 0.6, F24 = 0.6), 4/24, (SUM(A24,B24,C24,D24,E24,F24,)/24))</f>
        <v>0</v>
      </c>
      <c r="F39" s="189">
        <f>(F27*E39)*24</f>
        <v>0</v>
      </c>
      <c r="G39" s="189">
        <f>(G27*E39)*24</f>
        <v>0</v>
      </c>
      <c r="H39" s="190">
        <f>(H27*E39)*24</f>
        <v>0</v>
      </c>
    </row>
    <row r="40" spans="1:8" ht="17" thickBot="1" x14ac:dyDescent="0.2">
      <c r="A40" s="111"/>
      <c r="B40" s="109"/>
      <c r="C40" s="207"/>
      <c r="D40" s="121" t="s">
        <v>19</v>
      </c>
      <c r="E40" s="122">
        <f>IF(E39=-0.125, (IF(E23&lt;(46/24), 43/24,SUM(E23,E39))),SUM(E23,E39))</f>
        <v>0</v>
      </c>
      <c r="F40" s="123">
        <f ca="1">SUM(F28:F38)</f>
        <v>0</v>
      </c>
      <c r="G40" s="123">
        <f ca="1">SUM(G28:G39)</f>
        <v>0</v>
      </c>
      <c r="H40" s="124">
        <f ca="1">SUM(H28:H39)</f>
        <v>0</v>
      </c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2022-03-05T15:24:07Z</dcterms:modified>
  <cp:category/>
</cp:coreProperties>
</file>