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590AA1DC-6623-6045-8992-80AD8998AFA8}" xr6:coauthVersionLast="36" xr6:coauthVersionMax="47" xr10:uidLastSave="{00000000-0000-0000-0000-000000000000}"/>
  <bookViews>
    <workbookView xWindow="15880" yWindow="2360" windowWidth="20040" windowHeight="14980" activeTab="1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Ass'!$B$35</definedName>
    <definedName name="Deb" localSheetId="3">'Tech Retour Image'!$B$35</definedName>
    <definedName name="Deb">'2nd Ass'!$B$35</definedName>
    <definedName name="Fin" localSheetId="1">'1er Ass'!$B$37</definedName>
    <definedName name="Fin" localSheetId="3">'Tech Retour Image'!$B$37</definedName>
    <definedName name="Fin">'2nd Ass'!$B$37</definedName>
  </definedNames>
  <calcPr calcId="181029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1" l="1"/>
  <c r="D14" i="1" l="1"/>
  <c r="D3" i="11"/>
  <c r="D2" i="11"/>
  <c r="D15" i="1" l="1"/>
  <c r="D11" i="1" l="1"/>
  <c r="B35" i="11"/>
  <c r="H8" i="1"/>
  <c r="D7" i="11"/>
  <c r="D22" i="11"/>
  <c r="D11" i="12"/>
  <c r="D21" i="12"/>
  <c r="C17" i="1"/>
  <c r="E17" i="11"/>
  <c r="H19" i="11" s="1"/>
  <c r="F27" i="11"/>
  <c r="B8" i="11" l="1"/>
  <c r="E5" i="11"/>
  <c r="H7" i="11" s="1"/>
  <c r="D12" i="1"/>
  <c r="B11" i="11"/>
  <c r="B5" i="11"/>
  <c r="B14" i="11"/>
  <c r="B17" i="11"/>
  <c r="B20" i="11"/>
  <c r="E14" i="11" l="1"/>
  <c r="H16" i="11" s="1"/>
  <c r="H23" i="11" l="1"/>
  <c r="B1" i="12"/>
  <c r="D2" i="1"/>
  <c r="B35" i="1" s="1"/>
  <c r="B33" i="1" s="1"/>
  <c r="H20" i="12"/>
  <c r="H17" i="12"/>
  <c r="H14" i="12"/>
  <c r="H11" i="12"/>
  <c r="H8" i="12"/>
  <c r="H5" i="12"/>
  <c r="H20" i="1"/>
  <c r="H17" i="1"/>
  <c r="H14" i="1"/>
  <c r="H11" i="1"/>
  <c r="H5" i="1"/>
  <c r="D5" i="1"/>
  <c r="A6" i="1" l="1"/>
  <c r="H23" i="1"/>
  <c r="H23" i="12"/>
  <c r="E35" i="12" s="1"/>
  <c r="C9" i="12"/>
  <c r="F24" i="11"/>
  <c r="E24" i="11"/>
  <c r="D24" i="11"/>
  <c r="C24" i="11"/>
  <c r="B24" i="11"/>
  <c r="A24" i="11"/>
  <c r="G20" i="11"/>
  <c r="G17" i="11"/>
  <c r="G11" i="11"/>
  <c r="G8" i="11"/>
  <c r="G14" i="11"/>
  <c r="E39" i="11" l="1"/>
  <c r="A14" i="1"/>
  <c r="A8" i="1"/>
  <c r="A20" i="1"/>
  <c r="A11" i="1"/>
  <c r="A7" i="1"/>
  <c r="A17" i="1"/>
  <c r="A5" i="1"/>
  <c r="C11" i="12"/>
  <c r="D6" i="12"/>
  <c r="C5" i="1" l="1"/>
  <c r="D9" i="1"/>
  <c r="D8" i="1"/>
  <c r="C9" i="1"/>
  <c r="D3" i="1"/>
  <c r="A9" i="1" s="1"/>
  <c r="D1" i="1"/>
  <c r="A12" i="1" l="1"/>
  <c r="B24" i="1"/>
  <c r="A13" i="1" l="1"/>
  <c r="F11" i="1" s="1"/>
  <c r="A15" i="1"/>
  <c r="D6" i="1"/>
  <c r="F5" i="1" s="1"/>
  <c r="A16" i="1" l="1"/>
  <c r="F14" i="1" s="1"/>
  <c r="A18" i="1"/>
  <c r="B2" i="1"/>
  <c r="B1" i="1"/>
  <c r="D2" i="12"/>
  <c r="B35" i="12" s="1"/>
  <c r="B33" i="12" s="1"/>
  <c r="D3" i="12"/>
  <c r="D5" i="12"/>
  <c r="C6" i="1"/>
  <c r="F6" i="1" s="1"/>
  <c r="F7" i="1" s="1"/>
  <c r="D20" i="1"/>
  <c r="C21" i="12"/>
  <c r="D20" i="12"/>
  <c r="C20" i="12"/>
  <c r="D18" i="12"/>
  <c r="C18" i="12"/>
  <c r="D17" i="12"/>
  <c r="C17" i="12"/>
  <c r="D15" i="12"/>
  <c r="C15" i="12"/>
  <c r="D14" i="12"/>
  <c r="C14" i="12"/>
  <c r="D12" i="12"/>
  <c r="C12" i="12"/>
  <c r="B11" i="12" s="1"/>
  <c r="D9" i="12"/>
  <c r="D8" i="12"/>
  <c r="C8" i="12"/>
  <c r="B8" i="12" s="1"/>
  <c r="C6" i="12"/>
  <c r="C5" i="12"/>
  <c r="B2" i="12"/>
  <c r="F1" i="12"/>
  <c r="D1" i="12"/>
  <c r="C21" i="1"/>
  <c r="C20" i="1"/>
  <c r="D21" i="1"/>
  <c r="D18" i="1"/>
  <c r="D17" i="1"/>
  <c r="F17" i="1" s="1"/>
  <c r="C18" i="1"/>
  <c r="C15" i="1"/>
  <c r="C14" i="1"/>
  <c r="G11" i="1"/>
  <c r="C12" i="1"/>
  <c r="C11" i="1"/>
  <c r="C8" i="1"/>
  <c r="F1" i="1"/>
  <c r="H27" i="12"/>
  <c r="H37" i="12" s="1"/>
  <c r="G27" i="12"/>
  <c r="F27" i="12"/>
  <c r="H27" i="11"/>
  <c r="H37" i="11" s="1"/>
  <c r="G27" i="11"/>
  <c r="G37" i="11" s="1"/>
  <c r="E35" i="11"/>
  <c r="F35" i="11" s="1"/>
  <c r="C22" i="11"/>
  <c r="E22" i="11" s="1"/>
  <c r="E20" i="11"/>
  <c r="H22" i="11" s="1"/>
  <c r="D19" i="11"/>
  <c r="C19" i="11"/>
  <c r="E19" i="11" s="1"/>
  <c r="D16" i="11"/>
  <c r="C16" i="11"/>
  <c r="E16" i="11" s="1"/>
  <c r="D13" i="11"/>
  <c r="C13" i="11"/>
  <c r="E13" i="11" s="1"/>
  <c r="E11" i="11"/>
  <c r="H13" i="11" s="1"/>
  <c r="D10" i="11"/>
  <c r="C10" i="11"/>
  <c r="E10" i="11" s="1"/>
  <c r="E8" i="11"/>
  <c r="H10" i="11" s="1"/>
  <c r="C7" i="11"/>
  <c r="E7" i="11" s="1"/>
  <c r="F17" i="12" l="1"/>
  <c r="E23" i="11"/>
  <c r="E40" i="11" s="1"/>
  <c r="B23" i="11"/>
  <c r="A10" i="1"/>
  <c r="F8" i="1" s="1"/>
  <c r="B11" i="1"/>
  <c r="G37" i="12"/>
  <c r="H35" i="12"/>
  <c r="G35" i="12"/>
  <c r="F12" i="1"/>
  <c r="F13" i="1" s="1"/>
  <c r="F15" i="1"/>
  <c r="F16" i="1" s="1"/>
  <c r="F37" i="12"/>
  <c r="F35" i="12"/>
  <c r="B8" i="1"/>
  <c r="A19" i="1"/>
  <c r="A21" i="1"/>
  <c r="A22" i="1" s="1"/>
  <c r="F20" i="1" s="1"/>
  <c r="A6" i="12"/>
  <c r="A9" i="12" s="1"/>
  <c r="B14" i="12"/>
  <c r="B14" i="1"/>
  <c r="B20" i="1"/>
  <c r="B17" i="12"/>
  <c r="B20" i="12"/>
  <c r="B17" i="1"/>
  <c r="B5" i="12"/>
  <c r="E24" i="12"/>
  <c r="B5" i="1"/>
  <c r="B25" i="1"/>
  <c r="D24" i="1"/>
  <c r="G14" i="12"/>
  <c r="C24" i="12"/>
  <c r="A24" i="1"/>
  <c r="G8" i="1"/>
  <c r="G8" i="12"/>
  <c r="A24" i="12"/>
  <c r="G14" i="1"/>
  <c r="C24" i="1"/>
  <c r="G20" i="12"/>
  <c r="G17" i="1"/>
  <c r="E24" i="1"/>
  <c r="G20" i="1"/>
  <c r="F24" i="1"/>
  <c r="G17" i="12"/>
  <c r="D24" i="12"/>
  <c r="G11" i="12"/>
  <c r="B24" i="12"/>
  <c r="E18" i="11"/>
  <c r="B18" i="11" s="1"/>
  <c r="D10" i="12"/>
  <c r="B7" i="1"/>
  <c r="D19" i="12"/>
  <c r="D13" i="12"/>
  <c r="E5" i="1"/>
  <c r="H7" i="1" s="1"/>
  <c r="E21" i="11"/>
  <c r="B21" i="11" s="1"/>
  <c r="E20" i="1"/>
  <c r="H22" i="1" s="1"/>
  <c r="C22" i="12"/>
  <c r="E22" i="12" s="1"/>
  <c r="E20" i="12"/>
  <c r="H22" i="12" s="1"/>
  <c r="E17" i="12"/>
  <c r="H19" i="12" s="1"/>
  <c r="E11" i="1"/>
  <c r="H13" i="1" s="1"/>
  <c r="E11" i="12"/>
  <c r="H13" i="12" s="1"/>
  <c r="E12" i="11"/>
  <c r="E8" i="1"/>
  <c r="H10" i="1" s="1"/>
  <c r="E14" i="1"/>
  <c r="H16" i="1" s="1"/>
  <c r="E17" i="1"/>
  <c r="H19" i="1" s="1"/>
  <c r="E15" i="11"/>
  <c r="B15" i="11" s="1"/>
  <c r="D16" i="12"/>
  <c r="D7" i="12"/>
  <c r="E14" i="12"/>
  <c r="H16" i="12" s="1"/>
  <c r="G23" i="11"/>
  <c r="E34" i="11" s="1"/>
  <c r="G34" i="11" s="1"/>
  <c r="E8" i="12"/>
  <c r="H10" i="12" s="1"/>
  <c r="E9" i="11"/>
  <c r="B9" i="11" s="1"/>
  <c r="E6" i="11"/>
  <c r="E5" i="12"/>
  <c r="H7" i="12" s="1"/>
  <c r="C7" i="12"/>
  <c r="E7" i="12" s="1"/>
  <c r="C10" i="12"/>
  <c r="E10" i="12" s="1"/>
  <c r="C19" i="12"/>
  <c r="E19" i="12" s="1"/>
  <c r="D22" i="12"/>
  <c r="C13" i="12"/>
  <c r="E13" i="12" s="1"/>
  <c r="C16" i="12"/>
  <c r="E16" i="12" s="1"/>
  <c r="F24" i="12"/>
  <c r="G35" i="11"/>
  <c r="H35" i="11"/>
  <c r="F37" i="11"/>
  <c r="F9" i="1" l="1"/>
  <c r="F10" i="1" s="1"/>
  <c r="B6" i="11"/>
  <c r="G22" i="11"/>
  <c r="B23" i="1"/>
  <c r="F18" i="1"/>
  <c r="F19" i="1" s="1"/>
  <c r="F21" i="1"/>
  <c r="F22" i="1" s="1"/>
  <c r="E30" i="11"/>
  <c r="A10" i="12"/>
  <c r="A12" i="12"/>
  <c r="A14" i="12"/>
  <c r="A7" i="12"/>
  <c r="A5" i="12"/>
  <c r="B7" i="12" s="1"/>
  <c r="A17" i="12"/>
  <c r="A20" i="12"/>
  <c r="A11" i="12"/>
  <c r="A8" i="12"/>
  <c r="B10" i="12" s="1"/>
  <c r="B10" i="1"/>
  <c r="B23" i="12"/>
  <c r="E6" i="12"/>
  <c r="B6" i="12" s="1"/>
  <c r="B28" i="1"/>
  <c r="B27" i="1"/>
  <c r="E23" i="12"/>
  <c r="E9" i="12"/>
  <c r="B9" i="12" s="1"/>
  <c r="E39" i="12"/>
  <c r="E40" i="12" s="1"/>
  <c r="E23" i="1"/>
  <c r="B12" i="11"/>
  <c r="E36" i="11"/>
  <c r="E12" i="12"/>
  <c r="B12" i="12" s="1"/>
  <c r="B13" i="1"/>
  <c r="H39" i="11"/>
  <c r="E18" i="12"/>
  <c r="B18" i="12" s="1"/>
  <c r="G39" i="11"/>
  <c r="H34" i="11"/>
  <c r="E21" i="12"/>
  <c r="B21" i="12" s="1"/>
  <c r="G23" i="12"/>
  <c r="E34" i="12" s="1"/>
  <c r="G23" i="1"/>
  <c r="F34" i="11"/>
  <c r="E15" i="12"/>
  <c r="B15" i="12" s="1"/>
  <c r="B26" i="1" l="1"/>
  <c r="B29" i="1"/>
  <c r="F5" i="12"/>
  <c r="F6" i="12"/>
  <c r="F7" i="12" s="1"/>
  <c r="B30" i="1"/>
  <c r="H39" i="12"/>
  <c r="A15" i="12"/>
  <c r="A13" i="12"/>
  <c r="B13" i="12"/>
  <c r="F9" i="12"/>
  <c r="F8" i="12"/>
  <c r="G39" i="12"/>
  <c r="E36" i="12"/>
  <c r="F36" i="11"/>
  <c r="H36" i="11"/>
  <c r="G36" i="11"/>
  <c r="H34" i="12"/>
  <c r="G34" i="12"/>
  <c r="F34" i="12"/>
  <c r="E29" i="11"/>
  <c r="E32" i="11"/>
  <c r="H32" i="11" s="1"/>
  <c r="E28" i="11"/>
  <c r="G30" i="11"/>
  <c r="E31" i="11"/>
  <c r="A28" i="11" s="1"/>
  <c r="B25" i="12" l="1"/>
  <c r="A16" i="12"/>
  <c r="A18" i="12"/>
  <c r="B16" i="12"/>
  <c r="F12" i="12"/>
  <c r="F11" i="12"/>
  <c r="F10" i="12"/>
  <c r="B26" i="12"/>
  <c r="A29" i="11"/>
  <c r="H29" i="11"/>
  <c r="F28" i="11"/>
  <c r="F31" i="11"/>
  <c r="B19" i="1"/>
  <c r="B16" i="1"/>
  <c r="H36" i="12"/>
  <c r="G36" i="12"/>
  <c r="F36" i="12"/>
  <c r="G22" i="12"/>
  <c r="E32" i="12" s="1"/>
  <c r="G29" i="11"/>
  <c r="F29" i="11"/>
  <c r="E29" i="12"/>
  <c r="F29" i="12" s="1"/>
  <c r="F32" i="11"/>
  <c r="G32" i="11"/>
  <c r="E31" i="12"/>
  <c r="E28" i="12"/>
  <c r="H28" i="12" s="1"/>
  <c r="E30" i="12"/>
  <c r="G30" i="12" s="1"/>
  <c r="H31" i="11"/>
  <c r="H28" i="11"/>
  <c r="G28" i="11"/>
  <c r="G31" i="11"/>
  <c r="F30" i="11"/>
  <c r="H30" i="11"/>
  <c r="A21" i="12" l="1"/>
  <c r="A19" i="12"/>
  <c r="B19" i="12"/>
  <c r="F15" i="12"/>
  <c r="F14" i="12"/>
  <c r="F13" i="12"/>
  <c r="B27" i="12"/>
  <c r="G31" i="12"/>
  <c r="A28" i="12"/>
  <c r="A30" i="11"/>
  <c r="B22" i="1"/>
  <c r="H32" i="12"/>
  <c r="G32" i="12"/>
  <c r="F32" i="12"/>
  <c r="F31" i="12"/>
  <c r="G29" i="12"/>
  <c r="H29" i="12"/>
  <c r="H31" i="12"/>
  <c r="F28" i="12"/>
  <c r="G28" i="12"/>
  <c r="H30" i="12"/>
  <c r="F30" i="12"/>
  <c r="F18" i="12" l="1"/>
  <c r="F19" i="12" s="1"/>
  <c r="A22" i="12"/>
  <c r="B22" i="12"/>
  <c r="E38" i="12" s="1"/>
  <c r="F38" i="12" s="1"/>
  <c r="F16" i="12"/>
  <c r="B28" i="12"/>
  <c r="A29" i="12"/>
  <c r="A31" i="11"/>
  <c r="F39" i="11" s="1"/>
  <c r="D22" i="1"/>
  <c r="D19" i="1"/>
  <c r="D16" i="1"/>
  <c r="D13" i="1"/>
  <c r="D10" i="1"/>
  <c r="D7" i="1"/>
  <c r="B29" i="12" l="1"/>
  <c r="F20" i="12"/>
  <c r="F21" i="12"/>
  <c r="F22" i="12" s="1"/>
  <c r="A30" i="12"/>
  <c r="A31" i="12" s="1"/>
  <c r="F39" i="12" s="1"/>
  <c r="C22" i="1"/>
  <c r="C19" i="1"/>
  <c r="E19" i="1" s="1"/>
  <c r="E18" i="1" s="1"/>
  <c r="B18" i="1" s="1"/>
  <c r="C16" i="1"/>
  <c r="E16" i="1" s="1"/>
  <c r="C13" i="1"/>
  <c r="E13" i="1" s="1"/>
  <c r="E12" i="1" s="1"/>
  <c r="B12" i="1" s="1"/>
  <c r="C10" i="1"/>
  <c r="E10" i="1" s="1"/>
  <c r="E9" i="1" s="1"/>
  <c r="B9" i="1" s="1"/>
  <c r="C7" i="1"/>
  <c r="E7" i="1" s="1"/>
  <c r="E6" i="1" s="1"/>
  <c r="B6" i="1" s="1"/>
  <c r="F23" i="12" l="1"/>
  <c r="E33" i="12" s="1"/>
  <c r="B30" i="12"/>
  <c r="E15" i="1"/>
  <c r="B15" i="1" s="1"/>
  <c r="E22" i="1"/>
  <c r="E21" i="1" s="1"/>
  <c r="B21" i="1" s="1"/>
  <c r="E39" i="1"/>
  <c r="E40" i="1" s="1"/>
  <c r="F33" i="12" l="1"/>
  <c r="F40" i="12" s="1"/>
  <c r="G33" i="12"/>
  <c r="G40" i="12" s="1"/>
  <c r="H33" i="12"/>
  <c r="H40" i="12" s="1"/>
  <c r="E36" i="1"/>
  <c r="G22" i="1" l="1"/>
  <c r="E38" i="1" l="1"/>
  <c r="H27" i="1"/>
  <c r="E34" i="1"/>
  <c r="G27" i="1"/>
  <c r="G36" i="1" s="1"/>
  <c r="E35" i="1"/>
  <c r="F27" i="1"/>
  <c r="H39" i="1" l="1"/>
  <c r="H36" i="1"/>
  <c r="F36" i="1"/>
  <c r="F35" i="1"/>
  <c r="H37" i="1"/>
  <c r="G37" i="1"/>
  <c r="G35" i="1"/>
  <c r="H35" i="1"/>
  <c r="G39" i="1"/>
  <c r="F38" i="1"/>
  <c r="F37" i="1"/>
  <c r="H34" i="1"/>
  <c r="G34" i="1"/>
  <c r="F34" i="1"/>
  <c r="F23" i="1" l="1"/>
  <c r="F33" i="1" s="1"/>
  <c r="E32" i="1"/>
  <c r="F32" i="1" s="1"/>
  <c r="E29" i="1"/>
  <c r="H29" i="1" s="1"/>
  <c r="E30" i="1"/>
  <c r="H30" i="1" l="1"/>
  <c r="F30" i="1"/>
  <c r="E33" i="1"/>
  <c r="G29" i="1"/>
  <c r="G32" i="1"/>
  <c r="H32" i="1"/>
  <c r="E28" i="1"/>
  <c r="E31" i="1"/>
  <c r="A28" i="1" s="1"/>
  <c r="G30" i="1"/>
  <c r="F29" i="1"/>
  <c r="A29" i="1" l="1"/>
  <c r="A30" i="1" s="1"/>
  <c r="H28" i="1"/>
  <c r="F28" i="1"/>
  <c r="G28" i="1"/>
  <c r="F31" i="1"/>
  <c r="G31" i="1"/>
  <c r="H31" i="1"/>
  <c r="G33" i="1"/>
  <c r="H33" i="1"/>
  <c r="A31" i="1" l="1"/>
  <c r="F39" i="1" s="1"/>
  <c r="F40" i="1" s="1"/>
  <c r="G40" i="1"/>
  <c r="H40" i="1"/>
  <c r="A6" i="11" l="1"/>
  <c r="A7" i="11" l="1"/>
  <c r="F5" i="11" s="1"/>
  <c r="A11" i="11"/>
  <c r="A9" i="11"/>
  <c r="A5" i="11"/>
  <c r="B7" i="11" s="1"/>
  <c r="A17" i="11"/>
  <c r="A20" i="11"/>
  <c r="A14" i="11"/>
  <c r="A8" i="11"/>
  <c r="F6" i="11" l="1"/>
  <c r="F7" i="11" s="1"/>
  <c r="A12" i="11"/>
  <c r="A10" i="11"/>
  <c r="F8" i="11" s="1"/>
  <c r="B10" i="11"/>
  <c r="B25" i="11" l="1"/>
  <c r="A15" i="11"/>
  <c r="B16" i="11" s="1"/>
  <c r="A13" i="11"/>
  <c r="F11" i="11" s="1"/>
  <c r="F9" i="11"/>
  <c r="B13" i="11"/>
  <c r="A18" i="11" l="1"/>
  <c r="A21" i="11" s="1"/>
  <c r="A16" i="11"/>
  <c r="F14" i="11" s="1"/>
  <c r="F12" i="11"/>
  <c r="F10" i="11"/>
  <c r="B26" i="11"/>
  <c r="A19" i="11" l="1"/>
  <c r="B19" i="11"/>
  <c r="F15" i="11"/>
  <c r="F16" i="11" s="1"/>
  <c r="F13" i="11"/>
  <c r="B27" i="11"/>
  <c r="B22" i="11"/>
  <c r="E38" i="11" s="1"/>
  <c r="F38" i="11" s="1"/>
  <c r="F18" i="11" l="1"/>
  <c r="F19" i="11" s="1"/>
  <c r="B28" i="11"/>
  <c r="F21" i="11"/>
  <c r="F22" i="11" s="1"/>
  <c r="B29" i="11" l="1"/>
  <c r="A22" i="11"/>
  <c r="F20" i="11" s="1"/>
  <c r="B33" i="11"/>
  <c r="B30" i="11" l="1"/>
  <c r="F23" i="11"/>
  <c r="F33" i="11" l="1"/>
  <c r="F40" i="11" s="1"/>
  <c r="E33" i="11"/>
  <c r="G33" i="11" l="1"/>
  <c r="G40" i="11" s="1"/>
  <c r="H33" i="11"/>
  <c r="H40" i="11" s="1"/>
</calcChain>
</file>

<file path=xl/sharedStrings.xml><?xml version="1.0" encoding="utf-8"?>
<sst xmlns="http://schemas.openxmlformats.org/spreadsheetml/2006/main" count="151" uniqueCount="71">
  <si>
    <t>HEURES SIMPLES</t>
  </si>
  <si>
    <t>Tarif semaine 35H</t>
  </si>
  <si>
    <t>Date</t>
  </si>
  <si>
    <t>MAJ JOUR FERIE</t>
  </si>
  <si>
    <t>Tarif Horaire</t>
  </si>
  <si>
    <t>TARIFS</t>
  </si>
  <si>
    <t>HEURES SUP +25 %</t>
  </si>
  <si>
    <t>HEURES SUP +50 %</t>
  </si>
  <si>
    <t>à</t>
  </si>
  <si>
    <t>Heures de nuit :</t>
  </si>
  <si>
    <t>Heures de Nuit</t>
  </si>
  <si>
    <t>Equipe :</t>
  </si>
  <si>
    <t>Noms :</t>
  </si>
  <si>
    <t>PRODUCTION :</t>
  </si>
  <si>
    <t>FILM :</t>
  </si>
  <si>
    <t>Tarifs SEMAINE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</si>
  <si>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</si>
  <si>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</si>
  <si>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</si>
  <si>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t>SALAIRE SEMAINE :</t>
  </si>
  <si>
    <t>de 35h à 43h (8h)</t>
  </si>
  <si>
    <t>HEURES SUP +75 %</t>
  </si>
  <si>
    <t>MAJ AU-DELA DE 10H/JOUR</t>
  </si>
  <si>
    <t>de 43h à 48h (5h)</t>
  </si>
  <si>
    <t>au-delà de 48h</t>
  </si>
  <si>
    <t>HEURES DE TRANSPORT</t>
  </si>
  <si>
    <r>
      <rPr>
        <b/>
        <sz val="8"/>
        <color theme="2" tint="-0.749992370372631"/>
        <rFont val="Arial"/>
        <family val="2"/>
      </rPr>
      <t xml:space="preserve">(50% + Maj 100% au-delà 8h/Nuit) </t>
    </r>
    <r>
      <rPr>
        <b/>
        <sz val="12"/>
        <color theme="2" tint="-0.749992370372631"/>
        <rFont val="Arial"/>
        <family val="2"/>
      </rPr>
      <t>MAJ HEURES NUIT</t>
    </r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</si>
  <si>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</si>
  <si>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>MAJ HEURES ANTICIPEES 100%</t>
  </si>
  <si>
    <t xml:space="preserve">Remplir la partie "infos" à titre indicatif: Semaine, Prod, Film etc... </t>
  </si>
  <si>
    <t>1er Ass Op</t>
  </si>
  <si>
    <t>Tech Retour Image</t>
  </si>
  <si>
    <r>
      <rPr>
        <b/>
        <sz val="8"/>
        <color theme="2" tint="-0.749992370372631"/>
        <rFont val="Arial"/>
        <family val="2"/>
      </rPr>
      <t>(semaine 43h mini)</t>
    </r>
    <r>
      <rPr>
        <b/>
        <sz val="12"/>
        <color theme="2" tint="-0.749992370372631"/>
        <rFont val="Arial"/>
        <family val="2"/>
      </rPr>
      <t xml:space="preserve"> HEURES EQUIVALENCE</t>
    </r>
  </si>
  <si>
    <t>Annexe II</t>
  </si>
  <si>
    <t>2nd Ass Op</t>
  </si>
  <si>
    <t>Caméra</t>
  </si>
  <si>
    <t>Spécial</t>
  </si>
  <si>
    <t>MAJ DIMANCHE</t>
  </si>
  <si>
    <t>Semaine N°</t>
  </si>
  <si>
    <t>"Production"</t>
  </si>
  <si>
    <t>"Film"</t>
  </si>
  <si>
    <t>John Smith</t>
  </si>
  <si>
    <t>Attention, le total d'heures indiqué en rouge dans Salaire Semaine correspond au total après le retrait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</si>
  <si>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</si>
  <si>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</si>
  <si>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</si>
  <si>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</si>
  <si>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</si>
  <si>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</si>
  <si>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</si>
  <si>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</si>
  <si>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</si>
  <si>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</si>
  <si>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</si>
  <si>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</si>
  <si>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</si>
  <si>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</si>
  <si>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</si>
  <si>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</si>
  <si>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</si>
  <si>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</si>
  <si>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</si>
  <si>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>Par exemple : saisir =DATE(2022;2;7) et =DATE(2022;2;11) pour une semaine allant du 07/02/2022 au 11/02/2022.</t>
  </si>
  <si>
    <t>MAJ JOURNEE CONTINUE</t>
  </si>
  <si>
    <t xml:space="preserve">Somme des Heures
</t>
  </si>
  <si>
    <t>La feuille prend en compte la période des heures de nuit (été ou hiver) en se basant sur les dates de la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</si>
  <si>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</si>
  <si>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</si>
  <si>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Century Gothic"/>
        <family val="1"/>
      </rPr>
      <t>20h et 6h du 1er octobre au 31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</si>
  <si>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6h du 1er avril au 30 septembre</t>
    </r>
    <r>
      <rPr>
        <sz val="11"/>
        <color theme="1"/>
        <rFont val="Century Gothic"/>
        <family val="1"/>
      </rPr>
      <t xml:space="preserve">. </t>
    </r>
  </si>
  <si>
    <t>Matrice d'heures Cinéma - AOA - Version 1.3 - MaJ du 17/09/2022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</si>
</sst>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52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b/>
      <sz val="8"/>
      <color theme="2" tint="-0.749992370372631"/>
      <name val="Arial"/>
      <family val="2"/>
    </font>
    <font>
      <sz val="9"/>
      <color theme="7" tint="-0.499984740745262"/>
      <name val="Arial"/>
      <family val="2"/>
    </font>
    <font>
      <b/>
      <sz val="20"/>
      <name val="Century Gothic"/>
      <family val="1"/>
    </font>
    <font>
      <sz val="20"/>
      <name val="Century Gothic"/>
      <family val="1"/>
    </font>
    <font>
      <sz val="9"/>
      <name val="Century Gothic"/>
      <family val="1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3" tint="0.79998168889431442"/>
      <name val="Arial"/>
      <family val="2"/>
    </font>
    <font>
      <b/>
      <u/>
      <sz val="9"/>
      <color theme="0"/>
      <name val="Arial"/>
      <family val="2"/>
    </font>
    <font>
      <i/>
      <sz val="12"/>
      <name val="Geneva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top" wrapText="1"/>
    </xf>
    <xf numFmtId="0" fontId="29" fillId="7" borderId="13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0" xfId="0" applyFill="1"/>
    <xf numFmtId="0" fontId="35" fillId="4" borderId="0" xfId="0" applyFont="1" applyFill="1"/>
    <xf numFmtId="0" fontId="35" fillId="0" borderId="0" xfId="0" applyFont="1"/>
    <xf numFmtId="0" fontId="36" fillId="0" borderId="0" xfId="0" applyFont="1"/>
    <xf numFmtId="49" fontId="11" fillId="4" borderId="18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165" fontId="2" fillId="12" borderId="0" xfId="0" applyNumberFormat="1" applyFont="1" applyFill="1" applyAlignment="1">
      <alignment horizontal="center"/>
    </xf>
    <xf numFmtId="165" fontId="7" fillId="12" borderId="26" xfId="0" applyNumberFormat="1" applyFont="1" applyFill="1" applyBorder="1" applyAlignment="1">
      <alignment horizontal="center" vertical="center"/>
    </xf>
    <xf numFmtId="20" fontId="27" fillId="4" borderId="2" xfId="0" applyNumberFormat="1" applyFont="1" applyFill="1" applyBorder="1" applyAlignment="1">
      <alignment horizontal="center" vertical="center"/>
    </xf>
    <xf numFmtId="20" fontId="8" fillId="4" borderId="2" xfId="0" applyNumberFormat="1" applyFont="1" applyFill="1" applyBorder="1" applyAlignment="1">
      <alignment horizontal="center" vertical="center"/>
    </xf>
    <xf numFmtId="165" fontId="24" fillId="0" borderId="26" xfId="0" applyNumberFormat="1" applyFont="1" applyBorder="1"/>
    <xf numFmtId="165" fontId="8" fillId="12" borderId="26" xfId="0" applyNumberFormat="1" applyFont="1" applyFill="1" applyBorder="1" applyAlignment="1">
      <alignment horizontal="center" vertical="center"/>
    </xf>
    <xf numFmtId="0" fontId="23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15" fillId="9" borderId="8" xfId="0" applyFont="1" applyFill="1" applyBorder="1" applyAlignment="1">
      <alignment horizontal="right" vertical="center"/>
    </xf>
    <xf numFmtId="164" fontId="8" fillId="9" borderId="8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right" vertical="center"/>
    </xf>
    <xf numFmtId="164" fontId="8" fillId="8" borderId="0" xfId="0" applyNumberFormat="1" applyFont="1" applyFill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right" vertical="center"/>
    </xf>
    <xf numFmtId="164" fontId="8" fillId="9" borderId="0" xfId="0" applyNumberFormat="1" applyFont="1" applyFill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16" fillId="13" borderId="0" xfId="0" applyFont="1" applyFill="1" applyAlignment="1">
      <alignment horizontal="right" vertical="center"/>
    </xf>
    <xf numFmtId="164" fontId="8" fillId="13" borderId="0" xfId="0" applyNumberFormat="1" applyFont="1" applyFill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164" fontId="18" fillId="10" borderId="2" xfId="0" applyNumberFormat="1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164" fontId="18" fillId="10" borderId="3" xfId="0" applyNumberFormat="1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right" vertical="center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>
      <alignment horizontal="left" vertical="center"/>
    </xf>
    <xf numFmtId="0" fontId="29" fillId="11" borderId="21" xfId="0" applyFont="1" applyFill="1" applyBorder="1" applyAlignment="1">
      <alignment horizontal="righ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11" borderId="24" xfId="0" applyFont="1" applyFill="1" applyBorder="1" applyAlignment="1">
      <alignment horizontal="left" vertical="top"/>
    </xf>
    <xf numFmtId="0" fontId="22" fillId="12" borderId="21" xfId="0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20" fontId="27" fillId="4" borderId="5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0" fontId="39" fillId="4" borderId="0" xfId="0" applyFont="1" applyFill="1" applyAlignment="1">
      <alignment vertical="center"/>
    </xf>
    <xf numFmtId="14" fontId="40" fillId="0" borderId="0" xfId="0" applyNumberFormat="1" applyFont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0" fontId="2" fillId="4" borderId="21" xfId="0" applyFont="1" applyFill="1" applyBorder="1" applyAlignment="1">
      <alignment horizontal="left" vertical="center"/>
    </xf>
    <xf numFmtId="164" fontId="2" fillId="4" borderId="0" xfId="0" applyNumberFormat="1" applyFont="1" applyFill="1" applyAlignment="1">
      <alignment horizontal="center" vertical="center"/>
    </xf>
    <xf numFmtId="45" fontId="24" fillId="4" borderId="0" xfId="0" applyNumberFormat="1" applyFont="1" applyFill="1" applyAlignment="1">
      <alignment horizontal="center" vertical="center"/>
    </xf>
    <xf numFmtId="45" fontId="24" fillId="4" borderId="2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40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40" fillId="4" borderId="20" xfId="0" applyFont="1" applyFill="1" applyBorder="1" applyAlignment="1">
      <alignment horizontal="center"/>
    </xf>
    <xf numFmtId="20" fontId="27" fillId="4" borderId="0" xfId="0" applyNumberFormat="1" applyFont="1" applyFill="1" applyAlignment="1">
      <alignment horizontal="center" vertical="center"/>
    </xf>
    <xf numFmtId="14" fontId="23" fillId="11" borderId="24" xfId="0" quotePrefix="1" applyNumberFormat="1" applyFont="1" applyFill="1" applyBorder="1" applyAlignment="1" applyProtection="1">
      <alignment horizontal="center" vertical="center"/>
      <protection locked="0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29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0" fontId="3" fillId="13" borderId="9" xfId="0" applyFont="1" applyFill="1" applyBorder="1"/>
    <xf numFmtId="0" fontId="9" fillId="5" borderId="30" xfId="0" applyFont="1" applyFill="1" applyBorder="1" applyAlignment="1">
      <alignment horizontal="right" vertical="center"/>
    </xf>
    <xf numFmtId="164" fontId="10" fillId="5" borderId="31" xfId="0" applyNumberFormat="1" applyFont="1" applyFill="1" applyBorder="1" applyAlignment="1">
      <alignment horizontal="center" vertical="center"/>
    </xf>
    <xf numFmtId="4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0" fillId="4" borderId="24" xfId="0" applyFill="1" applyBorder="1" applyAlignment="1">
      <alignment vertical="center"/>
    </xf>
    <xf numFmtId="0" fontId="29" fillId="7" borderId="13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0" fontId="23" fillId="11" borderId="0" xfId="0" applyFont="1" applyFill="1" applyAlignment="1">
      <alignment horizontal="left" vertical="center"/>
    </xf>
    <xf numFmtId="0" fontId="23" fillId="11" borderId="0" xfId="0" applyFont="1" applyFill="1" applyAlignment="1">
      <alignment horizontal="left" vertical="top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vertical="center"/>
    </xf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9" fillId="2" borderId="34" xfId="0" applyNumberFormat="1" applyFont="1" applyFill="1" applyBorder="1" applyAlignment="1">
      <alignment horizontal="center" vertical="center"/>
    </xf>
    <xf numFmtId="0" fontId="3" fillId="3" borderId="9" xfId="0" applyFont="1" applyFill="1" applyBorder="1"/>
    <xf numFmtId="0" fontId="39" fillId="3" borderId="9" xfId="0" applyFont="1" applyFill="1" applyBorder="1" applyAlignment="1">
      <alignment vertical="center"/>
    </xf>
    <xf numFmtId="4" fontId="38" fillId="3" borderId="15" xfId="0" applyNumberFormat="1" applyFont="1" applyFill="1" applyBorder="1" applyAlignment="1">
      <alignment horizontal="center" vertical="center"/>
    </xf>
    <xf numFmtId="4" fontId="38" fillId="3" borderId="5" xfId="0" applyNumberFormat="1" applyFont="1" applyFill="1" applyBorder="1" applyAlignment="1">
      <alignment horizontal="center" vertical="center"/>
    </xf>
    <xf numFmtId="49" fontId="6" fillId="13" borderId="10" xfId="0" applyNumberFormat="1" applyFont="1" applyFill="1" applyBorder="1" applyAlignment="1">
      <alignment vertical="center"/>
    </xf>
    <xf numFmtId="0" fontId="16" fillId="13" borderId="11" xfId="0" applyFont="1" applyFill="1" applyBorder="1" applyAlignment="1">
      <alignment horizontal="right" vertical="center"/>
    </xf>
    <xf numFmtId="4" fontId="8" fillId="13" borderId="16" xfId="0" applyNumberFormat="1" applyFont="1" applyFill="1" applyBorder="1" applyAlignment="1">
      <alignment horizontal="center" vertical="center"/>
    </xf>
    <xf numFmtId="4" fontId="8" fillId="13" borderId="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45" fontId="24" fillId="4" borderId="22" xfId="0" applyNumberFormat="1" applyFont="1" applyFill="1" applyBorder="1" applyAlignment="1">
      <alignment horizontal="center" vertical="center"/>
    </xf>
    <xf numFmtId="45" fontId="24" fillId="4" borderId="13" xfId="0" applyNumberFormat="1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4" fontId="41" fillId="12" borderId="2" xfId="0" applyNumberFormat="1" applyFont="1" applyFill="1" applyBorder="1" applyAlignment="1">
      <alignment horizontal="center" vertical="center"/>
    </xf>
    <xf numFmtId="164" fontId="38" fillId="3" borderId="0" xfId="0" applyNumberFormat="1" applyFont="1" applyFill="1" applyAlignment="1">
      <alignment horizontal="center" vertical="center"/>
    </xf>
    <xf numFmtId="164" fontId="8" fillId="13" borderId="11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9" fillId="4" borderId="39" xfId="0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0" fillId="4" borderId="21" xfId="0" applyFill="1" applyBorder="1"/>
    <xf numFmtId="0" fontId="0" fillId="4" borderId="24" xfId="0" applyFill="1" applyBorder="1"/>
    <xf numFmtId="0" fontId="43" fillId="4" borderId="22" xfId="0" applyFont="1" applyFill="1" applyBorder="1"/>
    <xf numFmtId="0" fontId="43" fillId="4" borderId="13" xfId="0" applyFont="1" applyFill="1" applyBorder="1"/>
    <xf numFmtId="0" fontId="43" fillId="4" borderId="23" xfId="0" applyFont="1" applyFill="1" applyBorder="1"/>
    <xf numFmtId="0" fontId="43" fillId="0" borderId="0" xfId="0" applyFont="1"/>
    <xf numFmtId="164" fontId="2" fillId="0" borderId="0" xfId="0" applyNumberFormat="1" applyFont="1" applyAlignment="1">
      <alignment horizontal="center"/>
    </xf>
    <xf numFmtId="164" fontId="24" fillId="0" borderId="21" xfId="0" applyNumberFormat="1" applyFont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6" fillId="4" borderId="24" xfId="0" applyFont="1" applyFill="1" applyBorder="1" applyAlignment="1">
      <alignment vertical="center"/>
    </xf>
    <xf numFmtId="0" fontId="46" fillId="0" borderId="0" xfId="0" applyFont="1"/>
    <xf numFmtId="0" fontId="45" fillId="11" borderId="21" xfId="0" applyFont="1" applyFill="1" applyBorder="1" applyAlignment="1">
      <alignment vertical="center"/>
    </xf>
    <xf numFmtId="0" fontId="45" fillId="11" borderId="0" xfId="0" applyFont="1" applyFill="1" applyAlignment="1">
      <alignment vertical="center"/>
    </xf>
    <xf numFmtId="0" fontId="45" fillId="11" borderId="24" xfId="0" applyFont="1" applyFill="1" applyBorder="1" applyAlignment="1">
      <alignment vertical="center"/>
    </xf>
    <xf numFmtId="0" fontId="45" fillId="4" borderId="21" xfId="0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5" fillId="12" borderId="21" xfId="0" applyFont="1" applyFill="1" applyBorder="1" applyAlignment="1">
      <alignment vertical="center"/>
    </xf>
    <xf numFmtId="0" fontId="45" fillId="12" borderId="0" xfId="0" applyFont="1" applyFill="1" applyAlignment="1">
      <alignment vertical="center"/>
    </xf>
    <xf numFmtId="0" fontId="45" fillId="12" borderId="24" xfId="0" applyFont="1" applyFill="1" applyBorder="1" applyAlignment="1">
      <alignment vertical="center"/>
    </xf>
    <xf numFmtId="0" fontId="47" fillId="12" borderId="21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6" fillId="4" borderId="0" xfId="0" applyFont="1" applyFill="1"/>
    <xf numFmtId="0" fontId="45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5" fillId="0" borderId="0" xfId="0" applyFont="1"/>
    <xf numFmtId="0" fontId="48" fillId="9" borderId="21" xfId="0" applyFont="1" applyFill="1" applyBorder="1" applyAlignment="1">
      <alignment vertical="center"/>
    </xf>
    <xf numFmtId="0" fontId="49" fillId="9" borderId="0" xfId="0" applyFont="1" applyFill="1" applyAlignment="1">
      <alignment vertical="center"/>
    </xf>
    <xf numFmtId="0" fontId="49" fillId="9" borderId="24" xfId="0" applyFont="1" applyFill="1" applyBorder="1" applyAlignment="1">
      <alignment vertical="center"/>
    </xf>
    <xf numFmtId="0" fontId="48" fillId="4" borderId="21" xfId="0" applyFont="1" applyFill="1" applyBorder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24" xfId="0" applyFont="1" applyFill="1" applyBorder="1" applyAlignment="1">
      <alignment vertical="center"/>
    </xf>
    <xf numFmtId="0" fontId="45" fillId="4" borderId="0" xfId="0" applyFont="1" applyFill="1"/>
    <xf numFmtId="0" fontId="49" fillId="5" borderId="21" xfId="0" applyFont="1" applyFill="1" applyBorder="1" applyAlignment="1">
      <alignment vertical="center"/>
    </xf>
    <xf numFmtId="0" fontId="49" fillId="5" borderId="0" xfId="0" applyFont="1" applyFill="1" applyAlignment="1">
      <alignment vertical="center"/>
    </xf>
    <xf numFmtId="0" fontId="49" fillId="5" borderId="24" xfId="0" applyFont="1" applyFill="1" applyBorder="1" applyAlignment="1">
      <alignment vertical="center"/>
    </xf>
    <xf numFmtId="0" fontId="51" fillId="0" borderId="0" xfId="0" applyFont="1"/>
    <xf numFmtId="0" fontId="49" fillId="4" borderId="21" xfId="0" applyFont="1" applyFill="1" applyBorder="1" applyAlignment="1">
      <alignment vertical="center"/>
    </xf>
    <xf numFmtId="0" fontId="51" fillId="12" borderId="0" xfId="0" applyFont="1" applyFill="1" applyAlignment="1">
      <alignment vertical="center"/>
    </xf>
    <xf numFmtId="0" fontId="51" fillId="12" borderId="24" xfId="0" applyFont="1" applyFill="1" applyBorder="1" applyAlignment="1">
      <alignment vertical="center"/>
    </xf>
    <xf numFmtId="0" fontId="51" fillId="4" borderId="0" xfId="0" applyFont="1" applyFill="1" applyAlignment="1">
      <alignment vertical="center"/>
    </xf>
    <xf numFmtId="0" fontId="51" fillId="4" borderId="24" xfId="0" applyFont="1" applyFill="1" applyBorder="1" applyAlignment="1">
      <alignment vertical="center"/>
    </xf>
    <xf numFmtId="0" fontId="45" fillId="4" borderId="20" xfId="0" applyFont="1" applyFill="1" applyBorder="1" applyAlignment="1">
      <alignment vertical="center"/>
    </xf>
    <xf numFmtId="0" fontId="51" fillId="4" borderId="19" xfId="0" applyFont="1" applyFill="1" applyBorder="1" applyAlignment="1">
      <alignment vertical="center"/>
    </xf>
    <xf numFmtId="0" fontId="51" fillId="4" borderId="28" xfId="0" applyFont="1" applyFill="1" applyBorder="1" applyAlignment="1">
      <alignment vertical="center"/>
    </xf>
    <xf numFmtId="0" fontId="23" fillId="11" borderId="0" xfId="0" applyFont="1" applyFill="1" applyAlignment="1" applyProtection="1">
      <alignment horizontal="left" vertical="center"/>
    </xf>
    <xf numFmtId="0" fontId="29" fillId="11" borderId="0" xfId="0" applyFont="1" applyFill="1" applyAlignment="1" applyProtection="1">
      <alignment horizontal="right" vertical="center"/>
    </xf>
    <xf numFmtId="0" fontId="23" fillId="11" borderId="0" xfId="0" applyFont="1" applyFill="1" applyAlignment="1" applyProtection="1">
      <alignment horizontal="left" vertical="top"/>
    </xf>
    <xf numFmtId="0" fontId="29" fillId="7" borderId="13" xfId="0" applyFont="1" applyFill="1" applyBorder="1" applyAlignment="1" applyProtection="1">
      <alignment horizontal="left" vertical="center"/>
    </xf>
    <xf numFmtId="0" fontId="23" fillId="7" borderId="13" xfId="0" applyFont="1" applyFill="1" applyBorder="1" applyAlignment="1" applyProtection="1">
      <alignment horizontal="left" vertical="center"/>
    </xf>
    <xf numFmtId="45" fontId="24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M33"/>
  <sheetViews>
    <sheetView zoomScale="75" zoomScaleNormal="75" workbookViewId="0">
      <selection activeCell="G9" sqref="G9"/>
    </sheetView>
  </sheetViews>
  <sheetFormatPr baseColWidth="10" defaultRowHeight="12"/>
  <cols>
    <col min="11" max="11" width="20.5" customWidth="1"/>
  </cols>
  <sheetData>
    <row r="1" spans="1:13" s="154" customFormat="1" ht="20" customHeight="1">
      <c r="A1" s="151" t="s">
        <v>70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3" ht="12" customHeight="1">
      <c r="A2" s="149"/>
      <c r="B2" s="10"/>
      <c r="C2" s="10"/>
      <c r="D2" s="10"/>
      <c r="E2" s="10"/>
      <c r="F2" s="10"/>
      <c r="G2" s="10"/>
      <c r="H2" s="10"/>
      <c r="I2" s="10"/>
      <c r="J2" s="10"/>
      <c r="K2" s="150"/>
    </row>
    <row r="3" spans="1:13" ht="25">
      <c r="A3" s="115" t="s">
        <v>52</v>
      </c>
      <c r="B3" s="116"/>
      <c r="C3" s="116"/>
      <c r="D3" s="116"/>
      <c r="E3" s="117"/>
      <c r="F3" s="117"/>
      <c r="G3" s="117"/>
      <c r="H3" s="117"/>
      <c r="I3" s="117"/>
      <c r="J3" s="117"/>
      <c r="K3" s="118"/>
    </row>
    <row r="4" spans="1:13" ht="23" customHeight="1">
      <c r="A4" s="160" t="s">
        <v>51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  <c r="L4" s="163"/>
      <c r="M4" s="163"/>
    </row>
    <row r="5" spans="1:13" ht="23" customHeight="1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2"/>
      <c r="L5" s="163"/>
      <c r="M5" s="163"/>
    </row>
    <row r="6" spans="1:13" ht="23" customHeight="1">
      <c r="A6" s="164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6"/>
      <c r="L6" s="163"/>
      <c r="M6" s="163"/>
    </row>
    <row r="7" spans="1:13" ht="23" customHeight="1">
      <c r="A7" s="164" t="s">
        <v>66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  <c r="L7" s="163"/>
      <c r="M7" s="163"/>
    </row>
    <row r="8" spans="1:13" ht="23" customHeight="1">
      <c r="A8" s="164" t="s">
        <v>50</v>
      </c>
      <c r="B8" s="165"/>
      <c r="C8" s="165"/>
      <c r="D8" s="165"/>
      <c r="E8" s="165"/>
      <c r="F8" s="165"/>
      <c r="G8" s="165"/>
      <c r="H8" s="165"/>
      <c r="I8" s="165"/>
      <c r="J8" s="165"/>
      <c r="K8" s="166"/>
      <c r="L8" s="163"/>
      <c r="M8" s="163"/>
    </row>
    <row r="9" spans="1:13" ht="23" customHeight="1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163"/>
      <c r="M9" s="163"/>
    </row>
    <row r="10" spans="1:13" ht="23" customHeight="1">
      <c r="A10" s="164" t="s">
        <v>62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  <c r="L10" s="163"/>
      <c r="M10" s="163"/>
    </row>
    <row r="11" spans="1:13" ht="23" customHeight="1">
      <c r="A11" s="167"/>
      <c r="B11" s="161"/>
      <c r="C11" s="161"/>
      <c r="D11" s="161"/>
      <c r="E11" s="161"/>
      <c r="F11" s="161"/>
      <c r="G11" s="161"/>
      <c r="H11" s="161"/>
      <c r="I11" s="161"/>
      <c r="J11" s="161"/>
      <c r="K11" s="168"/>
      <c r="L11" s="163"/>
      <c r="M11" s="163"/>
    </row>
    <row r="12" spans="1:13" ht="23" customHeight="1">
      <c r="A12" s="169" t="s">
        <v>47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163"/>
      <c r="M12" s="163"/>
    </row>
    <row r="13" spans="1:13" ht="23" customHeight="1">
      <c r="A13" s="172" t="s">
        <v>48</v>
      </c>
      <c r="B13" s="173"/>
      <c r="C13" s="173"/>
      <c r="D13" s="173"/>
      <c r="E13" s="173"/>
      <c r="F13" s="173"/>
      <c r="G13" s="173"/>
      <c r="H13" s="173"/>
      <c r="I13" s="170"/>
      <c r="J13" s="170"/>
      <c r="K13" s="171"/>
      <c r="L13" s="163"/>
      <c r="M13" s="163"/>
    </row>
    <row r="14" spans="1:13" ht="23" customHeight="1">
      <c r="A14" s="169" t="s">
        <v>43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163"/>
      <c r="M14" s="163"/>
    </row>
    <row r="15" spans="1:13" ht="23" customHeight="1">
      <c r="A15" s="169" t="s">
        <v>49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63"/>
      <c r="M15" s="163"/>
    </row>
    <row r="16" spans="1:13" ht="23" customHeight="1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63"/>
      <c r="M16" s="163"/>
    </row>
    <row r="17" spans="1:13" ht="23" customHeight="1">
      <c r="A17" s="169" t="s">
        <v>67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63"/>
      <c r="M17" s="163"/>
    </row>
    <row r="18" spans="1:13" ht="23" customHeight="1">
      <c r="A18" s="169" t="s">
        <v>58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163"/>
      <c r="M18" s="163"/>
    </row>
    <row r="19" spans="1:13" ht="23" customHeight="1">
      <c r="A19" s="169" t="s">
        <v>59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63"/>
      <c r="M19" s="163"/>
    </row>
    <row r="20" spans="1:13" s="10" customFormat="1" ht="23" customHeight="1">
      <c r="A20" s="167"/>
      <c r="B20" s="161"/>
      <c r="C20" s="161"/>
      <c r="D20" s="161"/>
      <c r="E20" s="161"/>
      <c r="F20" s="161"/>
      <c r="G20" s="161"/>
      <c r="H20" s="161"/>
      <c r="I20" s="161"/>
      <c r="J20" s="161"/>
      <c r="K20" s="168"/>
      <c r="L20" s="174"/>
      <c r="M20" s="174"/>
    </row>
    <row r="21" spans="1:13" s="12" customFormat="1" ht="23" customHeight="1">
      <c r="A21" s="175" t="s">
        <v>44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78"/>
      <c r="M21" s="178"/>
    </row>
    <row r="22" spans="1:13" s="12" customFormat="1" ht="23" customHeight="1">
      <c r="A22" s="179" t="s">
        <v>45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1"/>
      <c r="L22" s="178"/>
      <c r="M22" s="178"/>
    </row>
    <row r="23" spans="1:13" s="12" customFormat="1" ht="23" customHeight="1">
      <c r="A23" s="179" t="s">
        <v>65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1"/>
      <c r="L23" s="178"/>
      <c r="M23" s="178"/>
    </row>
    <row r="24" spans="1:13" s="12" customFormat="1" ht="23" customHeight="1">
      <c r="A24" s="179" t="s">
        <v>68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  <c r="L24" s="178"/>
      <c r="M24" s="178"/>
    </row>
    <row r="25" spans="1:13" s="12" customFormat="1" ht="23" customHeight="1">
      <c r="A25" s="179" t="s">
        <v>69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8"/>
      <c r="M25" s="178"/>
    </row>
    <row r="26" spans="1:13" s="11" customFormat="1" ht="23" customHeight="1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4"/>
      <c r="L26" s="185"/>
      <c r="M26" s="185"/>
    </row>
    <row r="27" spans="1:13" ht="23" customHeight="1">
      <c r="A27" s="186" t="s">
        <v>42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8"/>
      <c r="L27" s="163"/>
      <c r="M27" s="163"/>
    </row>
    <row r="28" spans="1:13" s="13" customFormat="1" ht="23" customHeight="1">
      <c r="A28" s="186" t="s">
        <v>46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8"/>
      <c r="L28" s="189"/>
      <c r="M28" s="189"/>
    </row>
    <row r="29" spans="1:13" s="13" customFormat="1" ht="23" customHeight="1">
      <c r="A29" s="190"/>
      <c r="B29" s="183"/>
      <c r="C29" s="183"/>
      <c r="D29" s="183"/>
      <c r="E29" s="183"/>
      <c r="F29" s="183"/>
      <c r="G29" s="183"/>
      <c r="H29" s="183"/>
      <c r="I29" s="183"/>
      <c r="J29" s="183"/>
      <c r="K29" s="184"/>
      <c r="L29" s="189"/>
      <c r="M29" s="189"/>
    </row>
    <row r="30" spans="1:13" s="13" customFormat="1" ht="23" customHeight="1">
      <c r="A30" s="169" t="s">
        <v>53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2"/>
      <c r="L30" s="189"/>
      <c r="M30" s="189"/>
    </row>
    <row r="31" spans="1:13" ht="23" customHeight="1">
      <c r="A31" s="169" t="s">
        <v>54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2"/>
      <c r="L31" s="163"/>
      <c r="M31" s="163"/>
    </row>
    <row r="32" spans="1:13" s="10" customFormat="1" ht="23" customHeight="1">
      <c r="A32" s="167"/>
      <c r="B32" s="193"/>
      <c r="C32" s="193"/>
      <c r="D32" s="193"/>
      <c r="E32" s="193"/>
      <c r="F32" s="193"/>
      <c r="G32" s="193"/>
      <c r="H32" s="193"/>
      <c r="I32" s="193"/>
      <c r="J32" s="193"/>
      <c r="K32" s="194"/>
      <c r="L32" s="174"/>
      <c r="M32" s="174"/>
    </row>
    <row r="33" spans="1:13" ht="23" customHeight="1">
      <c r="A33" s="195" t="s">
        <v>55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  <c r="L33" s="163"/>
      <c r="M33" s="163"/>
    </row>
  </sheetData>
  <sheetProtection sheet="1" selectLockedCells="1"/>
  <pageMargins left="0.7" right="0.7" top="0.75" bottom="0.75" header="0.3" footer="0.3"/>
  <pageSetup paperSize="9" scale="7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51"/>
  <sheetViews>
    <sheetView tabSelected="1" zoomScale="75" zoomScaleNormal="75" workbookViewId="0">
      <selection activeCell="B1" sqref="B1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69" t="s">
        <v>13</v>
      </c>
      <c r="B1" s="23" t="s">
        <v>39</v>
      </c>
      <c r="C1" s="119"/>
      <c r="D1" s="70" t="s">
        <v>38</v>
      </c>
      <c r="E1" s="7" t="s">
        <v>11</v>
      </c>
      <c r="F1" s="23" t="s">
        <v>35</v>
      </c>
      <c r="G1" s="120"/>
      <c r="H1" s="71"/>
    </row>
    <row r="2" spans="1:9" ht="20" customHeight="1">
      <c r="A2" s="72" t="s">
        <v>14</v>
      </c>
      <c r="B2" s="24" t="s">
        <v>40</v>
      </c>
      <c r="C2" s="74" t="s">
        <v>60</v>
      </c>
      <c r="D2" s="73">
        <f>DATE(2022,9,12)</f>
        <v>43354</v>
      </c>
      <c r="E2" s="74" t="s">
        <v>12</v>
      </c>
      <c r="F2" s="24" t="s">
        <v>41</v>
      </c>
      <c r="G2" s="121"/>
      <c r="H2" s="75"/>
    </row>
    <row r="3" spans="1:9" ht="20" customHeight="1" thickBot="1">
      <c r="A3" s="72"/>
      <c r="B3" s="121"/>
      <c r="C3" s="74" t="s">
        <v>61</v>
      </c>
      <c r="D3" s="76">
        <f>DATE(2022,9,16)</f>
        <v>43358</v>
      </c>
      <c r="E3" s="8"/>
      <c r="F3" s="122"/>
      <c r="G3" s="122"/>
      <c r="H3" s="77"/>
    </row>
    <row r="4" spans="1:9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9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v>0</v>
      </c>
      <c r="D5" s="79"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v>0</v>
      </c>
    </row>
    <row r="6" spans="1:9" ht="17" customHeight="1">
      <c r="A6" s="80">
        <f>D2</f>
        <v>43354</v>
      </c>
      <c r="B6" s="81" t="str">
        <f>IF(E6=0 / 24, "","(journée continue)")</f>
        <v/>
      </c>
      <c r="C6" s="123">
        <v>0</v>
      </c>
      <c r="D6" s="87"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9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24,0,IF((MOD(C5-D5,1))&lt;6.05 / 24,0,0.5 / 24))</f>
        <v>0</v>
      </c>
      <c r="E7" s="19">
        <f>IF(C7&gt;(6.05 / 24),0.5 / 24,(IF(C5 = C6, IF(MOD(D6-D5, 1) &lt;6.05/24, 0, 0.5/24), IF((MOD(D6-C6,1))&lt;6.05/24,0,0.5/24))))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9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v>0</v>
      </c>
      <c r="D8" s="79"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v>0</v>
      </c>
      <c r="I8" s="95"/>
    </row>
    <row r="9" spans="1:9" ht="17" customHeight="1">
      <c r="A9" s="80">
        <f>IF(AND(DATE(YEAR(D2),MONTH(D2),DAY(D2))&lt;DATE(YEAR(D3),MONTH(D3),DAY(D3)), A6&lt;&gt;""),DATE(YEAR(D2),MONTH(D2),DAY(D2)+1),"")</f>
        <v>43355</v>
      </c>
      <c r="B9" s="4" t="str">
        <f>IF(E9=0 / 24, "","(journée continue)")</f>
        <v/>
      </c>
      <c r="C9" s="123">
        <v>0</v>
      </c>
      <c r="D9" s="87"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9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24,0,IF((MOD(C8-D8,1))&lt;6.05 / 24,0,0.5 / 24))</f>
        <v>0</v>
      </c>
      <c r="E10" s="84">
        <f>IF(C10&gt;(6.05 / 24),0.5 / 24,(IF(C8 = C9, IF(MOD(D9-D8, 1) &lt;6.05/24, 0, 0.5/24), IF((MOD(D9-C9,1))&lt;6.05/24,0,0.5/24))))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9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v>0</v>
      </c>
      <c r="D11" s="79"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v>0</v>
      </c>
    </row>
    <row r="12" spans="1:9" ht="17" customHeight="1">
      <c r="A12" s="80">
        <f>IF(AND(DATE(YEAR(A9),MONTH(A9),DAY(A9))&lt;DATE(YEAR(D3),MONTH(D3),DAY(D3)), A9&lt;&gt;""),DATE(YEAR(D2),MONTH(D2),DAY(D2)+2), "")</f>
        <v>43356</v>
      </c>
      <c r="B12" s="4" t="str">
        <f>IF(E12=0 / 24, "","(journée continue)")</f>
        <v/>
      </c>
      <c r="C12" s="123">
        <v>0</v>
      </c>
      <c r="D12" s="87"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9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24,0,IF((MOD(C11-D11,1))&lt;6.05 / 24,0,0.5 / 24))</f>
        <v>0</v>
      </c>
      <c r="E13" s="19">
        <f>IF(C13&gt;(6.05 / 24),0.5 / 24,(IF(C11 = C12, IF(MOD(D12-D11, 1) &lt;6.05/24, 0, 0.5/24), IF((MOD(D12-C12,1))&lt;6.05/24,0,0.5/24))))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9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v>0</v>
      </c>
      <c r="D14" s="79"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v>0</v>
      </c>
    </row>
    <row r="15" spans="1:9" ht="17" customHeight="1">
      <c r="A15" s="80">
        <f>IF(A12&lt;&gt; "", (IF(DATE(YEAR(A12),MONTH(A12),DAY(A12))&lt;DATE(YEAR(D3),MONTH(D3),DAY(D3)),DATE(YEAR(D2),MONTH(D2),(DAY(D2)+3)), "")), "")</f>
        <v>43357</v>
      </c>
      <c r="B15" s="4" t="str">
        <f>IF(E15=0 / 24, "","(journée continue)")</f>
        <v/>
      </c>
      <c r="C15" s="123">
        <v>0</v>
      </c>
      <c r="D15" s="87"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9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24,0,IF((MOD(C14-D14,1))&lt;6.05 / 24,0,0.5 / 24))</f>
        <v>0</v>
      </c>
      <c r="E16" s="19">
        <f>IF(C16&gt;(6.05 / 24),0.5 / 24,(IF(C15 = C14, IF(MOD(D15-D14, 1) &lt;6.05/24, 0, 0.5/24), IF((MOD(D15-C15,1))&lt;6.05/24,0,0.5/24))))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9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v>0</v>
      </c>
      <c r="D17" s="79"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v>0</v>
      </c>
    </row>
    <row r="18" spans="1:9" ht="17" customHeight="1">
      <c r="A18" s="80">
        <f>IF(A15&lt;&gt; "", (IF(DATE(YEAR(A15),MONTH(A15),DAY(A15))&lt;DATE(YEAR(D3),MONTH(D3),DAY(D3)),DATE(YEAR(D2),MONTH(D2),(DAY(D2)+4)), "")), "")</f>
        <v>43358</v>
      </c>
      <c r="B18" s="4" t="str">
        <f>IF(E18=0 / 24, "","(journée continue)")</f>
        <v/>
      </c>
      <c r="C18" s="123">
        <v>0</v>
      </c>
      <c r="D18" s="87"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9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24,0,IF((MOD(C17-D17,1))&lt;6.05 / 24,0,0.5 / 24))</f>
        <v>0</v>
      </c>
      <c r="E19" s="19">
        <f>IF(C19&gt;(6.05 / 24),0.5 / 24,(IF(C17 = C18, IF(MOD(D18-D17, 1) &lt;6.05/24, 0, 0.5/24), IF((MOD(D18-C18,1))&lt;6.05/24,0,0.5/24))))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9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v>0</v>
      </c>
      <c r="D20" s="79">
        <v>0</v>
      </c>
      <c r="E20" s="9">
        <f>IF(D20= "",0/24,((MOD(D21-D20,1))-MOD(C21-C20,1)))</f>
        <v>0</v>
      </c>
      <c r="F20" s="9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D18=0),0/24, (IF(D20=0/24,0/24,IF((MOD(D20-D18,1))&gt;= 11/24,0/24,11/24-(MOD(D20-D18,1))))))</f>
        <v>0</v>
      </c>
      <c r="H20" s="125">
        <v>0</v>
      </c>
    </row>
    <row r="21" spans="1:9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v>0</v>
      </c>
      <c r="D21" s="87"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  <c r="I21" s="146"/>
    </row>
    <row r="22" spans="1:9" ht="17" customHeight="1">
      <c r="A22" s="82">
        <f ca="1"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24,0,IF((MOD(C20-D20,1))&lt;6.05 / 24,0,0.5 / 24))</f>
        <v>0</v>
      </c>
      <c r="E22" s="19">
        <f>IF(C22&gt;(6.05 / 24),0.5 / 24,(IF(C21 = C20, IF(MOD(D21-D20, 1) &lt;6.05/24, 0, 0.5/24), IF((MOD(D21-C21,1))&lt;6.05/24,0,0.5/24))))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9" ht="17" customHeight="1" thickBot="1">
      <c r="A23" s="139"/>
      <c r="B23" s="158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 ca="1"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9" ht="17" customHeight="1" thickBot="1">
      <c r="A24" s="140">
        <f>IF(OR(D5=0, D5=""), IF(OR(D6=0, D6=""),  0, 36 / 60), 36/ 60)</f>
        <v>0</v>
      </c>
      <c r="B24" s="141">
        <f>IF(OR(D8=0, D8=""), IF(OR(D9=0, D9=""),  0, 36/60), 36/60)</f>
        <v>0</v>
      </c>
      <c r="C24" s="203">
        <f>IF(OR(D11=0, D11=""), IF(OR(D12=0, D12=""),  0, 36/60), 36/60)</f>
        <v>0</v>
      </c>
      <c r="D24" s="203">
        <f>IF(OR(D14=0, D14=""), IF(OR(D15=0, D15=""),  0, 36/ 60), 36/60)</f>
        <v>0</v>
      </c>
      <c r="E24" s="203">
        <f>IF(OR(D17=0, D17=""), IF(OR(D18=0, D18=""),  0, 36/ 60), 36/60)</f>
        <v>0</v>
      </c>
      <c r="F24" s="203">
        <f>IF(OR(D20=0, D20=""), IF(OR(D21=0, D21=""),  0, 36/60), 36/60)</f>
        <v>0</v>
      </c>
      <c r="G24" s="204"/>
      <c r="H24" s="26"/>
    </row>
    <row r="25" spans="1:9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30</v>
      </c>
      <c r="G25" s="30"/>
      <c r="H25" s="112"/>
    </row>
    <row r="26" spans="1:9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1156.3699999999999</v>
      </c>
      <c r="G26" s="33"/>
      <c r="H26" s="113"/>
    </row>
    <row r="27" spans="1:9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33.039142857142856</v>
      </c>
      <c r="G27" s="36">
        <f>+G26/35</f>
        <v>0</v>
      </c>
      <c r="H27" s="114">
        <f>+H26/35</f>
        <v>0</v>
      </c>
    </row>
    <row r="28" spans="1:9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9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9" s="3" customFormat="1" ht="17" customHeight="1">
      <c r="A30" s="156">
        <f>IF(A28+A29&lt;&gt;-E39,IF(E29&gt;(-E39-E31-E30),-E39-A29, -E39-(-E39-E31-E30-E29)),0)</f>
        <v>0</v>
      </c>
      <c r="B30" s="99">
        <f ca="1"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9" s="3" customFormat="1" ht="17" customHeight="1">
      <c r="A31" s="157">
        <f>IF(A28+A29+A30 &lt;&gt; -E39, IF(E28&gt;(-E39-E31-E30 - E29),-E39-A30, -E39-(-E39-E31-E30-E29-E28)), 0)</f>
        <v>0</v>
      </c>
      <c r="B31" s="8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9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 ca="1">IF(Deb &lt; 0.9, "(Studio Agréé 21h à 6h)", "Studio de 22h à 6h")</f>
        <v>Studio de 22h à 6h</v>
      </c>
      <c r="C33" s="55"/>
      <c r="D33" s="56" t="s">
        <v>26</v>
      </c>
      <c r="E33" s="57">
        <f ca="1">F23</f>
        <v>0</v>
      </c>
      <c r="F33" s="58">
        <f ca="1">((F27*(SUM(F23,B25,B26,B27,B28,B29,B30)))*24)*0.5</f>
        <v>0</v>
      </c>
      <c r="G33" s="58">
        <f ca="1">((G27*E33)*24)*0.5</f>
        <v>0</v>
      </c>
      <c r="H33" s="105">
        <f ca="1"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 ca="1">IF(D2&gt;DATE(YEAR(TODAY()),3,31),IF(D2&lt;DATE(YEAR(TODAY()),10,1),22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132"/>
      <c r="D38" s="61" t="s">
        <v>37</v>
      </c>
      <c r="E38" s="144">
        <f>IF(B7&lt;&gt;"",E5,IF(B10&lt;&gt;"",E8,IF(B13&lt;&gt;"",E11,IF(B16&lt;&gt;"",E14,IF(B19&lt;&gt;"",E17,IF(B22&lt;&gt;"",E20, 0))))))</f>
        <v>0</v>
      </c>
      <c r="F38" s="133">
        <f>(F27*E38)*24</f>
        <v>0</v>
      </c>
      <c r="G38" s="133">
        <v>0</v>
      </c>
      <c r="H38" s="134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 ca="1">IF(E39=-3/24,IF(SUM(F28:F39)&lt;1486.76,1486.76,SUM(F28:F39)),IF(E39&lt;-3/24,IF(SUM(F28:F39)&lt;1965.82,1965.82,SUM(F28:F39)),SUM(F28:F39)))</f>
        <v>0</v>
      </c>
      <c r="G40" s="110">
        <f ca="1">SUM(G28:G39)</f>
        <v>0</v>
      </c>
      <c r="H40" s="111">
        <f ca="1">SUM(H28:H39)</f>
        <v>0</v>
      </c>
    </row>
    <row r="41" spans="1:8">
      <c r="C41" s="155"/>
      <c r="D41" s="155"/>
      <c r="E41" s="155"/>
    </row>
    <row r="42" spans="1:8">
      <c r="C42" s="155"/>
      <c r="D42" s="155"/>
      <c r="E42" s="155"/>
      <c r="F42" s="155"/>
    </row>
    <row r="43" spans="1:8">
      <c r="B43" s="155"/>
      <c r="C43" s="155"/>
      <c r="D43" s="155"/>
      <c r="E43" s="155"/>
      <c r="F43" s="155"/>
    </row>
    <row r="44" spans="1:8">
      <c r="A44" s="155"/>
      <c r="C44" s="155"/>
      <c r="D44" s="155"/>
      <c r="E44" s="155"/>
      <c r="F44" s="155"/>
    </row>
    <row r="46" spans="1:8">
      <c r="A46" s="155"/>
      <c r="D46" s="155"/>
    </row>
    <row r="47" spans="1:8">
      <c r="C47" s="155"/>
      <c r="D47" s="155"/>
    </row>
    <row r="48" spans="1:8">
      <c r="C48" s="155"/>
      <c r="D48" s="155"/>
    </row>
    <row r="49" spans="3:3">
      <c r="C49" s="155"/>
    </row>
    <row r="50" spans="3:3">
      <c r="C50" s="155"/>
    </row>
    <row r="51" spans="3:3">
      <c r="C51" s="155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0"/>
  <sheetViews>
    <sheetView zoomScale="75" zoomScaleNormal="75" workbookViewId="0">
      <selection activeCell="C20" sqref="C20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69" t="s">
        <v>13</v>
      </c>
      <c r="B1" s="120" t="str">
        <f>'1er Ass'!B1</f>
        <v>"Production"</v>
      </c>
      <c r="C1" s="119"/>
      <c r="D1" s="70" t="str">
        <f>'1er Ass'!D1</f>
        <v>Semaine N°</v>
      </c>
      <c r="E1" s="7" t="s">
        <v>11</v>
      </c>
      <c r="F1" s="120" t="str">
        <f>'1er Ass'!F1</f>
        <v>Caméra</v>
      </c>
      <c r="G1" s="120"/>
      <c r="H1" s="71"/>
    </row>
    <row r="2" spans="1:8" ht="20" customHeight="1">
      <c r="A2" s="72" t="s">
        <v>14</v>
      </c>
      <c r="B2" s="121" t="str">
        <f>'1er Ass'!B2</f>
        <v>"Film"</v>
      </c>
      <c r="C2" s="74" t="s">
        <v>60</v>
      </c>
      <c r="D2" s="100">
        <f>'1er Ass'!D2</f>
        <v>43354</v>
      </c>
      <c r="E2" s="74" t="s">
        <v>12</v>
      </c>
      <c r="F2" s="24" t="s">
        <v>41</v>
      </c>
      <c r="G2" s="121"/>
      <c r="H2" s="75"/>
    </row>
    <row r="3" spans="1:8" ht="20" customHeight="1" thickBot="1">
      <c r="A3" s="72"/>
      <c r="B3" s="121"/>
      <c r="C3" s="74" t="s">
        <v>61</v>
      </c>
      <c r="D3" s="76">
        <f>'1er Ass'!D3</f>
        <v>43358</v>
      </c>
      <c r="E3" s="8"/>
      <c r="F3" s="122"/>
      <c r="G3" s="122"/>
      <c r="H3" s="77"/>
    </row>
    <row r="4" spans="1:8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8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f>'1er Ass'!C5</f>
        <v>0</v>
      </c>
      <c r="D5" s="79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f>'1er Ass'!H5</f>
        <v>0</v>
      </c>
    </row>
    <row r="6" spans="1:8" ht="17" customHeight="1">
      <c r="A6" s="80">
        <f>D2</f>
        <v>43354</v>
      </c>
      <c r="B6" s="81" t="str">
        <f>IF(E6=0 / 24, "","(journée continue)")</f>
        <v/>
      </c>
      <c r="C6" s="123">
        <f>'1er Ass'!C6</f>
        <v>0</v>
      </c>
      <c r="D6" s="79">
        <f>'1er Ass'!D6</f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24,0,IF((MOD(C5-D5,1))&lt;6.05 / 24,0,0.5 / 24))</f>
        <v>0</v>
      </c>
      <c r="E7" s="19">
        <f>IF(C7&gt;(6.05 / 24),0.5 / 24,(IF(C5 = C6, IF(MOD(D6-D5, 1) &lt;6.05/24, 0, 0.5/24), IF((MOD(D6-C6,1))&lt;6.05/24,0,0.5/24))))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8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f>'1er Ass'!C8</f>
        <v>0</v>
      </c>
      <c r="D8" s="79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f>'1er Ass'!H8</f>
        <v>0</v>
      </c>
    </row>
    <row r="9" spans="1:8" ht="17" customHeight="1">
      <c r="A9" s="80">
        <f>IF(AND(DATE(YEAR(D2),MONTH(D2),DAY(D2))&lt;DATE(YEAR(D3),MONTH(D3),DAY(D3)), A6&lt;&gt;""),DATE(YEAR(D2),MONTH(D2),DAY(D2)+1),"")</f>
        <v>43355</v>
      </c>
      <c r="B9" s="4" t="str">
        <f>IF(E9=0 / 24, "","(journée continue)")</f>
        <v/>
      </c>
      <c r="C9" s="123">
        <f>'1er Ass'!C9</f>
        <v>0</v>
      </c>
      <c r="D9" s="79">
        <f>'1er Ass'!D9</f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24,0,IF((MOD(C8-D8,1))&lt;6.05 / 24,0,0.5 / 24))</f>
        <v>0</v>
      </c>
      <c r="E10" s="84">
        <f>IF(C10&gt;(6.05 / 24),0.5 / 24,(IF(C8 = C9, IF(MOD(D9-D8, 1) &lt;6.05/24, 0, 0.5/24), IF((MOD(D9-C9,1))&lt;6.05/24,0,0.5/24))))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8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f>'1er Ass'!C11</f>
        <v>0</v>
      </c>
      <c r="D11" s="79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f>'1er Ass'!H11</f>
        <v>0</v>
      </c>
    </row>
    <row r="12" spans="1:8" ht="17" customHeight="1">
      <c r="A12" s="80">
        <f>IF(AND(DATE(YEAR(A9),MONTH(A9),DAY(A9))&lt;DATE(YEAR(D3),MONTH(D3),DAY(D3)), A9&lt;&gt;""),DATE(YEAR(D2),MONTH(D2),DAY(D2)+2), "")</f>
        <v>43356</v>
      </c>
      <c r="B12" s="4" t="str">
        <f>IF(E12=0 / 24, "","(journée continue)")</f>
        <v/>
      </c>
      <c r="C12" s="123">
        <f>'1er Ass'!C12</f>
        <v>0</v>
      </c>
      <c r="D12" s="87">
        <f>'1er Ass'!D12</f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24,0,IF((MOD(C11-D11,1))&lt;6.05 / 24,0,0.5 / 24))</f>
        <v>0</v>
      </c>
      <c r="E13" s="19">
        <f>IF(C13&gt;(6.05 / 24),0.5 / 24,(IF(C11 = C12, IF(MOD(D12-D11, 1) &lt;6.05/24, 0, 0.5/24), IF((MOD(D12-C12,1))&lt;6.05/24,0,0.5/24))))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8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f>'1er Ass'!C14</f>
        <v>0</v>
      </c>
      <c r="D14" s="79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f>'1er Ass'!H14</f>
        <v>0</v>
      </c>
    </row>
    <row r="15" spans="1:8" ht="17" customHeight="1">
      <c r="A15" s="80">
        <f>IF(A12&lt;&gt; "", (IF(DATE(YEAR(A12),MONTH(A12),DAY(A12))&lt;DATE(YEAR(D3),MONTH(D3),DAY(D3)),DATE(YEAR(D2),MONTH(D2),(DAY(D2)+3)), "")), "")</f>
        <v>43357</v>
      </c>
      <c r="B15" s="4" t="str">
        <f>IF(E15=0 / 24, "","(journée continue)")</f>
        <v/>
      </c>
      <c r="C15" s="123">
        <f>'1er Ass'!C15</f>
        <v>0</v>
      </c>
      <c r="D15" s="79">
        <f>'1er Ass'!D15</f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24,0,IF((MOD(C14-D14,1))&lt;6.05 / 24,0,0.5 / 24))</f>
        <v>0</v>
      </c>
      <c r="E16" s="19">
        <f>IF(C16&gt;(6.05 / 24),0.5 / 24,(IF(C15 = C14, IF(MOD(D15-D14, 1) &lt;6.05/24, 0, 0.5/24), IF((MOD(D15-C15,1))&lt;6.05/24,0,0.5/24))))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8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f>'1er Ass'!C17</f>
        <v>0</v>
      </c>
      <c r="D17" s="79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f>'1er Ass'!H17</f>
        <v>0</v>
      </c>
    </row>
    <row r="18" spans="1:8" ht="17" customHeight="1">
      <c r="A18" s="80">
        <f>IF(A15&lt;&gt; "", (IF(DATE(YEAR(A15),MONTH(A15),DAY(A15))&lt;DATE(YEAR(D3),MONTH(D3),DAY(D3)),DATE(YEAR(D2),MONTH(D2),(DAY(D2)+4)), "")), "")</f>
        <v>43358</v>
      </c>
      <c r="B18" s="4" t="str">
        <f>IF(E18=0 / 24, "","(journée continue)")</f>
        <v/>
      </c>
      <c r="C18" s="123">
        <f>'1er Ass'!C18</f>
        <v>0</v>
      </c>
      <c r="D18" s="79">
        <f>'1er Ass'!D18</f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24,0,IF((MOD(C17-D17,1))&lt;6.05 / 24,0,0.5 / 24))</f>
        <v>0</v>
      </c>
      <c r="E19" s="19">
        <f>IF(C19&gt;(6.05 / 24),0.5 / 24,(IF(C17 = C18, IF(MOD(D18-D17, 1) &lt;6.05/24, 0, 0.5/24), IF((MOD(D18-C18,1))&lt;6.05/24,0,0.5/24))))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8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f>'1er Ass'!C20</f>
        <v>0</v>
      </c>
      <c r="D20" s="79">
        <f>'1er Ass'!D20</f>
        <v>0</v>
      </c>
      <c r="E20" s="9">
        <f>IF(D20= "",0/24,((MOD(D21-D20,1))-MOD(C21-C20,1)))</f>
        <v>0</v>
      </c>
      <c r="F20" s="9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D18=0),0/24, (IF(D20=0/24,0/24,IF((MOD(D20-D18,1))&gt;= 11/24,0/24,11/24-(MOD(D20-D18,1))))))</f>
        <v>0</v>
      </c>
      <c r="H20" s="125">
        <f>'1er Ass'!H20</f>
        <v>0</v>
      </c>
    </row>
    <row r="21" spans="1:8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f>'1er Ass'!C21</f>
        <v>0</v>
      </c>
      <c r="D21" s="79">
        <f>'1er Ass'!D21</f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</row>
    <row r="22" spans="1:8" ht="17" customHeight="1">
      <c r="A22" s="82">
        <f ca="1"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24,0,IF((MOD(C20-D20,1))&lt;6.05 / 24,0,0.5 / 24))</f>
        <v>0</v>
      </c>
      <c r="E22" s="19">
        <f>IF(C22&gt;(6.05 / 24),0.5 / 24,(IF(C21 = C20, IF(MOD(D21-D20, 1) &lt;6.05/24, 0, 0.5/24), IF((MOD(D21-C21,1))&lt;6.05/24,0,0.5/24))))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8" ht="17" customHeight="1" thickBot="1">
      <c r="A23" s="147"/>
      <c r="B23" s="159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 ca="1"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8" ht="17" customHeight="1" thickBot="1">
      <c r="A24" s="94">
        <f>IF(OR(D5=0, D5=""), IF(OR(D6=0, D6=""),  0, 36 / 60), 36/ 60)</f>
        <v>0</v>
      </c>
      <c r="B24" s="93">
        <f>IF(OR(D8=0, D8=""), IF(OR(D9=0, D9=""),  0, 36/60), 36/60)</f>
        <v>0</v>
      </c>
      <c r="C24" s="93">
        <f>IF(OR(D11=0, D11=""), IF(OR(D12=0, D12=""),  0, 36/60), 36/60)</f>
        <v>0</v>
      </c>
      <c r="D24" s="93">
        <f>IF(OR(D14=0, D14=""), IF(OR(D15=0, D15=""),  0, 36/ 60), 36/60)</f>
        <v>0</v>
      </c>
      <c r="E24" s="93">
        <f>IF(OR(D17=0, D17=""), IF(OR(D18=0, D18=""),  0, 36/ 60), 36/60)</f>
        <v>0</v>
      </c>
      <c r="F24" s="93">
        <f>IF(OR(D20=0, D20=""), IF(OR(D21=0, D21=""),  0, 36/60), 36/60)</f>
        <v>0</v>
      </c>
      <c r="G24" s="92"/>
      <c r="H24" s="26"/>
    </row>
    <row r="25" spans="1:8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34</v>
      </c>
      <c r="G25" s="30"/>
      <c r="H25" s="112"/>
    </row>
    <row r="26" spans="1:8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898.95</v>
      </c>
      <c r="G26" s="33"/>
      <c r="H26" s="113"/>
    </row>
    <row r="27" spans="1:8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25.684285714285714</v>
      </c>
      <c r="G27" s="36">
        <f>+G26/35</f>
        <v>0</v>
      </c>
      <c r="H27" s="114">
        <f>+H26/35</f>
        <v>0</v>
      </c>
    </row>
    <row r="28" spans="1:8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8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8" s="3" customFormat="1" ht="17" customHeight="1">
      <c r="A30" s="156">
        <f>IF(A28+A29&lt;&gt;-E39,IF(E29&gt;(-E39-E31-E30),-E39-A29, -E39-(-E39-E31-E30-E29)),0)</f>
        <v>0</v>
      </c>
      <c r="B30" s="99">
        <f ca="1"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8" s="3" customFormat="1" ht="17" customHeight="1">
      <c r="A31" s="157">
        <f>IF(A28+A29+A30 &lt;&gt; -E39, IF(E28&gt;(-E39-E31-E30 - E29),-E39-A30, -E39-(-E39-E31-E30-E29-E28)), 0)</f>
        <v>0</v>
      </c>
      <c r="B31" s="8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8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 ca="1">IF(Deb &lt; 0.9, "(Studio Agréé 21h à 6h)", "Studio de 22h à 6h")</f>
        <v>Studio de 22h à 6h</v>
      </c>
      <c r="C33" s="55"/>
      <c r="D33" s="56" t="s">
        <v>26</v>
      </c>
      <c r="E33" s="57">
        <f ca="1">F23</f>
        <v>0</v>
      </c>
      <c r="F33" s="58">
        <f ca="1">((F27*(SUM(F23,B25,B26,B27,B28,B29,B30)))*24)*0.5</f>
        <v>0</v>
      </c>
      <c r="G33" s="58">
        <f ca="1">((G27*E33)*24)*0.5</f>
        <v>0</v>
      </c>
      <c r="H33" s="105">
        <f ca="1"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 ca="1">IF(D2&gt;DATE(YEAR(TODAY()),3,31),IF(D2&lt;DATE(YEAR(TODAY()),10,1),22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67"/>
      <c r="D38" s="61" t="s">
        <v>37</v>
      </c>
      <c r="E38" s="62">
        <f>IF(B7&lt;&gt;"",E5,IF(B10&lt;&gt;"",E8,IF(B13&lt;&gt;"",E11,IF(B16&lt;&gt;"",E14,IF(B19&lt;&gt;"",E17,IF(B22&lt;&gt;"",E20, 0))))))</f>
        <v>0</v>
      </c>
      <c r="F38" s="63">
        <f>(F27*E38)*24</f>
        <v>0</v>
      </c>
      <c r="G38" s="63">
        <v>0</v>
      </c>
      <c r="H38" s="106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 ca="1">IF(E39=-3/24,IF(SUM(F28:F39)&lt;1155.79,1155.79,SUM(F28:F39)),IF(E39&lt;-3/24,IF(SUM(F28:F39)&lt;1528.22,15528.22,SUM(F28:F39)),SUM(F28:F39)))</f>
        <v>0</v>
      </c>
      <c r="G40" s="110">
        <f ca="1">SUM(G28:G39)</f>
        <v>0</v>
      </c>
      <c r="H40" s="111">
        <f ca="1">SUM(H28:H39)</f>
        <v>0</v>
      </c>
    </row>
  </sheetData>
  <sheetProtection sheet="1" selectLockedCells="1"/>
  <phoneticPr fontId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65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0"/>
  <sheetViews>
    <sheetView topLeftCell="A10" zoomScale="75" zoomScaleNormal="75" workbookViewId="0">
      <selection activeCell="C6" sqref="C6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69" t="s">
        <v>13</v>
      </c>
      <c r="B1" s="202" t="str">
        <f>'1er Ass'!B1</f>
        <v>"Production"</v>
      </c>
      <c r="C1" s="201"/>
      <c r="D1" s="70" t="str">
        <f>'1er Ass'!D1</f>
        <v>Semaine N°</v>
      </c>
      <c r="E1" s="7" t="s">
        <v>11</v>
      </c>
      <c r="F1" s="120" t="str">
        <f>'1er Ass'!F1</f>
        <v>Caméra</v>
      </c>
      <c r="G1" s="202"/>
      <c r="H1" s="71"/>
    </row>
    <row r="2" spans="1:8" ht="20" customHeight="1">
      <c r="A2" s="72" t="s">
        <v>14</v>
      </c>
      <c r="B2" s="198" t="str">
        <f>'1er Ass'!B2</f>
        <v>"Film"</v>
      </c>
      <c r="C2" s="199" t="s">
        <v>60</v>
      </c>
      <c r="D2" s="100">
        <f>'1er Ass'!D2</f>
        <v>43354</v>
      </c>
      <c r="E2" s="74" t="s">
        <v>12</v>
      </c>
      <c r="F2" s="24" t="s">
        <v>41</v>
      </c>
      <c r="G2" s="198"/>
      <c r="H2" s="75"/>
    </row>
    <row r="3" spans="1:8" ht="20" customHeight="1" thickBot="1">
      <c r="A3" s="72"/>
      <c r="B3" s="198"/>
      <c r="C3" s="199" t="s">
        <v>61</v>
      </c>
      <c r="D3" s="76">
        <f>'1er Ass'!D3</f>
        <v>43358</v>
      </c>
      <c r="E3" s="8"/>
      <c r="F3" s="200"/>
      <c r="G3" s="200"/>
      <c r="H3" s="77"/>
    </row>
    <row r="4" spans="1:8" ht="50" customHeight="1">
      <c r="A4" s="14" t="s">
        <v>2</v>
      </c>
      <c r="B4" s="6" t="s">
        <v>36</v>
      </c>
      <c r="C4" s="6" t="s">
        <v>57</v>
      </c>
      <c r="D4" s="6" t="s">
        <v>16</v>
      </c>
      <c r="E4" s="6" t="s">
        <v>64</v>
      </c>
      <c r="F4" s="6" t="s">
        <v>10</v>
      </c>
      <c r="G4" s="15" t="s">
        <v>17</v>
      </c>
      <c r="H4" s="16" t="s">
        <v>27</v>
      </c>
    </row>
    <row r="5" spans="1:8" s="3" customFormat="1" ht="23" customHeight="1">
      <c r="A5" s="78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23">
        <f>'1er Ass'!C5</f>
        <v>0</v>
      </c>
      <c r="D5" s="79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25">
        <f>'1er Ass'!H5</f>
        <v>0</v>
      </c>
    </row>
    <row r="6" spans="1:8" ht="17" customHeight="1">
      <c r="A6" s="80">
        <f>D2</f>
        <v>43354</v>
      </c>
      <c r="B6" s="81" t="str">
        <f>IF(E6=0 / 24, "","(journée continue)")</f>
        <v/>
      </c>
      <c r="C6" s="123">
        <f>'1er Ass'!C6</f>
        <v>0</v>
      </c>
      <c r="D6" s="79">
        <f>'1er Ass'!D6</f>
        <v>0</v>
      </c>
      <c r="E6" s="143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7" customHeight="1">
      <c r="A7" s="82">
        <f>IF(A6 = "", Deb, IF(A6&gt;DATE(YEAR(A6),3,31),IF(A6&lt;DATE(YEAR(A6),10,1),22/24,20/24),20/24))</f>
        <v>0.91666666666666663</v>
      </c>
      <c r="B7" s="83" t="str">
        <f>IF(A6 &lt;&gt; "", IF(A5="DIMANCHE", "(majoration dimanche)", ""), "")</f>
        <v/>
      </c>
      <c r="C7" s="84">
        <f>IF(C6 = C5, (MOD(D6-D5,1)),0)</f>
        <v>0</v>
      </c>
      <c r="D7" s="85">
        <f>IF(C5=0 / 24,0,IF((MOD(C5-D5,1))&lt;6.05 / 24,0,0.5 / 24))</f>
        <v>0</v>
      </c>
      <c r="E7" s="19">
        <f>IF(C7&gt;(6.05 / 24),0.5 / 24,(IF(C5 = C6, IF(MOD(D6-D5, 1) &lt;6.05/24, 0, 0.5/24), IF((MOD(D6-C6,1))&lt;6.05/24,0,0.5/24))))</f>
        <v>0</v>
      </c>
      <c r="F7" s="5" t="str">
        <f>IF(OR(F6=" ", F6=0)," ","(minoration repas nuit)")</f>
        <v xml:space="preserve"> </v>
      </c>
      <c r="G7" s="20"/>
      <c r="H7" s="21">
        <f>IF(E5&lt;10/24,0/24,E5-10/24)</f>
        <v>0</v>
      </c>
    </row>
    <row r="8" spans="1:8" ht="17" customHeight="1">
      <c r="A8" s="78" t="str">
        <f>CHOOSE(WEEKDAY(A6+1,2),"LUNDI","MARDI","MERCREDI","JEUDI","VENDREDI","SAMEDI","DIMANCHE")</f>
        <v>MARDI</v>
      </c>
      <c r="B8" s="86" t="str">
        <f>IF(OR(C8&lt;&gt;0, C9 &lt;&gt;0), IF(MOD(C9-C8, 1) &lt; 0.041, "(pause réduite)", ""), "")</f>
        <v/>
      </c>
      <c r="C8" s="123">
        <f>'1er Ass'!C8</f>
        <v>0</v>
      </c>
      <c r="D8" s="79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25">
        <f>'1er Ass'!H8</f>
        <v>0</v>
      </c>
    </row>
    <row r="9" spans="1:8" ht="17" customHeight="1">
      <c r="A9" s="80">
        <f>IF(AND(DATE(YEAR(D2),MONTH(D2),DAY(D2))&lt;DATE(YEAR(D3),MONTH(D3),DAY(D3)), A6&lt;&gt;""),DATE(YEAR(D2),MONTH(D2),DAY(D2)+1),"")</f>
        <v>43355</v>
      </c>
      <c r="B9" s="4" t="str">
        <f>IF(E9=0 / 24, "","(journée continue)")</f>
        <v/>
      </c>
      <c r="C9" s="123">
        <f>'1er Ass'!C9</f>
        <v>0</v>
      </c>
      <c r="D9" s="79">
        <f>'1er Ass'!D9</f>
        <v>0</v>
      </c>
      <c r="E9" s="143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7" customHeight="1">
      <c r="A10" s="82">
        <f>IF(A9 = "", Deb, IF(A9&gt;DATE(YEAR(A9),3,31),IF(A9&lt;DATE(YEAR(A9),10,1),22/24,20/24),20/24))</f>
        <v>0.91666666666666663</v>
      </c>
      <c r="B10" s="83" t="str">
        <f>IF(A9 &lt;&gt; "", IF(A8="DIMANCHE", "(majoration dimanche)", ""), "")</f>
        <v/>
      </c>
      <c r="C10" s="84">
        <f>IF(C9 = C8, (MOD(D9-D8,1)),0)</f>
        <v>0</v>
      </c>
      <c r="D10" s="85">
        <f>IF(C8=0 / 24,0,IF((MOD(C8-D8,1))&lt;6.05 / 24,0,0.5 / 24))</f>
        <v>0</v>
      </c>
      <c r="E10" s="84">
        <f>IF(C10&gt;(6.05 / 24),0.5 / 24,(IF(C8 = C9, IF(MOD(D9-D8, 1) &lt;6.05/24, 0, 0.5/24), IF((MOD(D9-C9,1))&lt;6.05/24,0,0.5/24))))</f>
        <v>0</v>
      </c>
      <c r="F10" s="5" t="str">
        <f>IF(F9=" "," ","(minoration repas nuit)")</f>
        <v xml:space="preserve"> </v>
      </c>
      <c r="G10" s="20"/>
      <c r="H10" s="21">
        <f>IF(E8&lt;10/24,0/24,E8-10/24)</f>
        <v>0</v>
      </c>
    </row>
    <row r="11" spans="1:8" ht="17" customHeight="1">
      <c r="A11" s="78" t="str">
        <f>CHOOSE(WEEKDAY(A6+2,2),"LUNDI","MARDI","MERCREDI","JEUDI","VENDREDI","SAMEDI","DIMANCHE")</f>
        <v>MERCREDI</v>
      </c>
      <c r="B11" s="86" t="str">
        <f>IF(OR(C11&lt;&gt;0, C12 &lt;&gt;0), IF(MOD(C12-C11, 1) &lt; 0.041, "(pause réduite)", ""), "")</f>
        <v/>
      </c>
      <c r="C11" s="123">
        <f>'1er Ass'!C11</f>
        <v>0</v>
      </c>
      <c r="D11" s="79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0">
        <f>IF(AND(D8=0, D9=0), 0/24, (IF(D11=0/24,0/24,IF((MOD(D11-D9,1))&gt;=11/24,0/24,11/24-(MOD(D11-D9,1))))))</f>
        <v>0</v>
      </c>
      <c r="H11" s="125">
        <f>'1er Ass'!H11</f>
        <v>0</v>
      </c>
    </row>
    <row r="12" spans="1:8" ht="17" customHeight="1">
      <c r="A12" s="80">
        <f>IF(AND(DATE(YEAR(A9),MONTH(A9),DAY(A9))&lt;DATE(YEAR(D3),MONTH(D3),DAY(D3)), A9&lt;&gt;""),DATE(YEAR(D2),MONTH(D2),DAY(D2)+2), "")</f>
        <v>43356</v>
      </c>
      <c r="B12" s="4" t="str">
        <f>IF(E12=0 / 24, "","(journée continue)")</f>
        <v/>
      </c>
      <c r="C12" s="123">
        <f>'1er Ass'!C12</f>
        <v>0</v>
      </c>
      <c r="D12" s="87">
        <f>'1er Ass'!D12</f>
        <v>0</v>
      </c>
      <c r="E12" s="143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7" customHeight="1">
      <c r="A13" s="82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4">
        <f>IF(C12 = C11, (MOD(D12-D11,1)),0)</f>
        <v>0</v>
      </c>
      <c r="D13" s="85">
        <f>IF(C11=0 / 24,0,IF((MOD(C11-D11,1))&lt;6.05 / 24,0,0.5 / 24))</f>
        <v>0</v>
      </c>
      <c r="E13" s="19">
        <f>IF(C13&gt;(6.05 / 24),0.5 / 24,(IF(C11 = C12, IF(MOD(D12-D11, 1) &lt;6.05/24, 0, 0.5/24), IF((MOD(D12-C12,1))&lt;6.05/24,0,0.5/24))))</f>
        <v>0</v>
      </c>
      <c r="F13" s="5" t="str">
        <f>IF(F12=" "," ","(minoration repas nuit)")</f>
        <v xml:space="preserve"> </v>
      </c>
      <c r="G13" s="20"/>
      <c r="H13" s="21">
        <f>IF(E11&lt;10/24,0/24,E11-10/24)</f>
        <v>0</v>
      </c>
    </row>
    <row r="14" spans="1:8" ht="17" customHeight="1">
      <c r="A14" s="78" t="str">
        <f>CHOOSE(WEEKDAY(A6+3,2),"LUNDI","MARDI","MERCREDI","JEUDI","VENDREDI","SAMEDI","DIMANCHE")</f>
        <v>JEUDI</v>
      </c>
      <c r="B14" s="86" t="str">
        <f>IF(OR(C14&lt;&gt;0, C15 &lt;&gt;0), IF(MOD(C15-C14, 1) &lt; 0.041, "(pause réduite)", ""), "")</f>
        <v/>
      </c>
      <c r="C14" s="123">
        <f>'1er Ass'!C14</f>
        <v>0</v>
      </c>
      <c r="D14" s="79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25">
        <f>'1er Ass'!H14</f>
        <v>0</v>
      </c>
    </row>
    <row r="15" spans="1:8" ht="17" customHeight="1">
      <c r="A15" s="80">
        <f>IF(A12&lt;&gt; "", (IF(DATE(YEAR(A12),MONTH(A12),DAY(A12))&lt;DATE(YEAR(D3),MONTH(D3),DAY(D3)),DATE(YEAR(D2),MONTH(D2),(DAY(D2)+3)), "")), "")</f>
        <v>43357</v>
      </c>
      <c r="B15" s="4" t="str">
        <f>IF(E15=0 / 24, "","(journée continue)")</f>
        <v/>
      </c>
      <c r="C15" s="123">
        <f>'1er Ass'!C15</f>
        <v>0</v>
      </c>
      <c r="D15" s="79">
        <f>'1er Ass'!D15</f>
        <v>0</v>
      </c>
      <c r="E15" s="143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7" customHeight="1">
      <c r="A16" s="82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4">
        <f>IF(C14 = C15, (MOD(D15-D14,1)),0)</f>
        <v>0</v>
      </c>
      <c r="D16" s="85">
        <f>IF(C14=0 / 24,0,IF((MOD(C14-D14,1))&lt;6.05 / 24,0,0.5 / 24))</f>
        <v>0</v>
      </c>
      <c r="E16" s="19">
        <f>IF(C16&gt;(6.05 / 24),0.5 / 24,(IF(C15 = C14, IF(MOD(D15-D14, 1) &lt;6.05/24, 0, 0.5/24), IF((MOD(D15-C15,1))&lt;6.05/24,0,0.5/24))))</f>
        <v>0</v>
      </c>
      <c r="F16" s="5" t="str">
        <f>IF(F15=" "," ","(minoration repas nuit)")</f>
        <v xml:space="preserve"> </v>
      </c>
      <c r="G16" s="20"/>
      <c r="H16" s="21">
        <f>IF(E14&lt;10/24,0/24,E14-10/24)</f>
        <v>0</v>
      </c>
    </row>
    <row r="17" spans="1:8" ht="17" customHeight="1">
      <c r="A17" s="78" t="str">
        <f>CHOOSE(WEEKDAY(A6+4,2),"LUNDI","MARDI","MERCREDI","JEUDI","VENDREDI","SAMEDI","DIMANCHE")</f>
        <v>VENDREDI</v>
      </c>
      <c r="B17" s="86" t="str">
        <f>IF(OR(C17&lt;&gt;0, C18 &lt;&gt;0), IF(MOD(C18-C17, 1) &lt; 0.041, "(pause réduite)", ""), "")</f>
        <v/>
      </c>
      <c r="C17" s="123">
        <f>'1er Ass'!C17</f>
        <v>0</v>
      </c>
      <c r="D17" s="79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25">
        <f>'1er Ass'!H17</f>
        <v>0</v>
      </c>
    </row>
    <row r="18" spans="1:8" ht="17" customHeight="1">
      <c r="A18" s="80">
        <f>IF(A15&lt;&gt; "", (IF(DATE(YEAR(A15),MONTH(A15),DAY(A15))&lt;DATE(YEAR(D3),MONTH(D3),DAY(D3)),DATE(YEAR(D2),MONTH(D2),(DAY(D2)+4)), "")), "")</f>
        <v>43358</v>
      </c>
      <c r="B18" s="4" t="str">
        <f>IF(E18=0 / 24, "","(journée continue)")</f>
        <v/>
      </c>
      <c r="C18" s="123">
        <f>'1er Ass'!C18</f>
        <v>0</v>
      </c>
      <c r="D18" s="79">
        <f>'1er Ass'!D18</f>
        <v>0</v>
      </c>
      <c r="E18" s="143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7" customHeight="1">
      <c r="A19" s="82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4">
        <f>IF(C17 = C18, (MOD(D18-D17,1)),0)</f>
        <v>0</v>
      </c>
      <c r="D19" s="85">
        <f>IF(C17=0 / 24,0,IF((MOD(C17-D17,1))&lt;6.05 / 24,0,0.5 / 24))</f>
        <v>0</v>
      </c>
      <c r="E19" s="19">
        <f>IF(C19&gt;(6.05 / 24),0.5 / 24,(IF(C17 = C18, IF(MOD(D18-D17, 1) &lt;6.05/24, 0, 0.5/24), IF((MOD(D18-C18,1))&lt;6.05/24,0,0.5/24))))</f>
        <v>0</v>
      </c>
      <c r="F19" s="5" t="str">
        <f>IF(F18=" "," ","(minoration repas nuit)")</f>
        <v xml:space="preserve"> </v>
      </c>
      <c r="G19" s="20"/>
      <c r="H19" s="21">
        <f>IF(E17&lt;10/24,0/24,E17-10/24)</f>
        <v>0</v>
      </c>
    </row>
    <row r="20" spans="1:8" ht="17" customHeight="1">
      <c r="A20" s="78" t="str">
        <f>CHOOSE(WEEKDAY(A6+5,2),"LUNDI","MARDI","MERCREDI","JEUDI","VENDREDI","SAMEDI","DIMANCHE")</f>
        <v>SAMEDI</v>
      </c>
      <c r="B20" s="86" t="str">
        <f>IF(OR(C20&lt;&gt;0, C21 &lt;&gt;0), IF(MOD(C21-C20, 1) &lt; 0.041, "(pause réduite)", ""), "")</f>
        <v/>
      </c>
      <c r="C20" s="123">
        <f>'1er Ass'!C20</f>
        <v>0</v>
      </c>
      <c r="D20" s="79">
        <f>'1er Ass'!D20</f>
        <v>0</v>
      </c>
      <c r="E20" s="9">
        <f>IF(D20= "",0/24,((MOD(D21-D20,1))-MOD(C21-C20,1)))</f>
        <v>0</v>
      </c>
      <c r="F20" s="9">
        <f ca="1"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 0/24, (IF(D20=0/24,0/24,IF((MOD(D20-D18,1))&gt;= 11/24,0/24,11/24-(MOD(D20-D18,1))))))</f>
        <v>0</v>
      </c>
      <c r="H20" s="125">
        <f>'1er Ass'!H20</f>
        <v>0</v>
      </c>
    </row>
    <row r="21" spans="1:8" ht="17" customHeight="1">
      <c r="A21" s="80" t="str">
        <f>IF(A18&lt;&gt; "", (IF(DATE(YEAR(A18),MONTH(A18),DAY(A18))&lt;DATE(YEAR(D3),MONTH(D3),DAY(D3)),DATE(YEAR(D2),MONTH(D2),(DAY(D2)+5)), "")), "")</f>
        <v/>
      </c>
      <c r="B21" s="4" t="str">
        <f>IF(E21=0 / 24, "","(journée continue)")</f>
        <v/>
      </c>
      <c r="C21" s="123">
        <f>'1er Ass'!C21</f>
        <v>0</v>
      </c>
      <c r="D21" s="79">
        <f>'1er Ass'!D21</f>
        <v>0</v>
      </c>
      <c r="E21" s="143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7"/>
      <c r="H21" s="22"/>
    </row>
    <row r="22" spans="1:8" ht="17" customHeight="1">
      <c r="A22" s="82">
        <f ca="1">IF(A21 = "", Deb, IF(A21&gt;DATE(YEAR(A21),3,31),IF(A21&lt;DATE(YEAR(A21),10,1),22/24,20/24),20/24))</f>
        <v>0.91666666666666663</v>
      </c>
      <c r="B22" s="5" t="str">
        <f>IF(A21&lt;&gt;"",IF(A20="DIMANCHE","(majoration dimanche)",""), "")</f>
        <v/>
      </c>
      <c r="C22" s="84">
        <f>IF(C20 = C21, (MOD(D21-D20,1)),0)</f>
        <v>0</v>
      </c>
      <c r="D22" s="85">
        <f>IF(C20=0 / 24,0,IF((MOD(C20-D20,1))&lt;6.05 / 24,0,0.5 / 24))</f>
        <v>0</v>
      </c>
      <c r="E22" s="19">
        <f>IF(C22&gt;(6.05 / 24),0.5 / 24,(IF(C21 = C20, IF(MOD(D21-D20, 1) &lt;6.05/24, 0, 0.5/24), IF((MOD(D21-C21,1))&lt;6.05/24,0,0.5/24))))</f>
        <v>0</v>
      </c>
      <c r="F22" s="5" t="str">
        <f>IF(F21=" "," ","(minoration repas nuit)")</f>
        <v xml:space="preserve"> </v>
      </c>
      <c r="G22" s="19">
        <f>SUM(H22+H19+H16+H13+H10+H7)</f>
        <v>0</v>
      </c>
      <c r="H22" s="21">
        <f>IF(E20&lt;10/24,0/24,E20-10/24)</f>
        <v>0</v>
      </c>
    </row>
    <row r="23" spans="1:8" ht="17" customHeight="1" thickBot="1">
      <c r="A23" s="147"/>
      <c r="B23" s="159" t="str">
        <f>IF(OR(E5=0/24,E8=0/24,E11=0/24,E14=0/24,E17=0/24, E20=0/24),"","(maj 100% 6ème jour+recup.)")</f>
        <v/>
      </c>
      <c r="C23" s="126"/>
      <c r="D23" s="127" t="s">
        <v>18</v>
      </c>
      <c r="E23" s="128">
        <f>SUM(E5,E8,E11,E14,E17,E20)</f>
        <v>0</v>
      </c>
      <c r="F23" s="128">
        <f ca="1">SUM(F5,F6,F8,F9,F11,F12,F14,F15,F17,F18,F20,F21)</f>
        <v>0</v>
      </c>
      <c r="G23" s="129">
        <f>SUM(G5:G21)</f>
        <v>0</v>
      </c>
      <c r="H23" s="130">
        <f>SUM(H21,H20,H18,H17,H15,H14,H12,H11,H9,H8,H6,H5)</f>
        <v>0</v>
      </c>
    </row>
    <row r="24" spans="1:8" ht="17" customHeight="1" thickBot="1">
      <c r="A24" s="94">
        <f>IF(OR(D5=0, D5=""), IF(OR(D6=0, D6=""),  0, 36 / 60), 36/ 60)</f>
        <v>0</v>
      </c>
      <c r="B24" s="93">
        <f>IF(OR(D8=0, D8=""), IF(OR(D9=0, D9=""),  0, 36/60), 36/60)</f>
        <v>0</v>
      </c>
      <c r="C24" s="93">
        <f>IF(OR(D11=0, D11=""), IF(OR(D12=0, D12=""),  0, 36/60), 36/60)</f>
        <v>0</v>
      </c>
      <c r="D24" s="93">
        <f>IF(OR(D14=0, D14=""), IF(OR(D15=0, D15=""),  0, 36/ 60), 36/60)</f>
        <v>0</v>
      </c>
      <c r="E24" s="93">
        <f>IF(OR(D17=0, D17=""), IF(OR(D18=0, D18=""),  0, 36/ 60), 36/60)</f>
        <v>0</v>
      </c>
      <c r="F24" s="93">
        <f>IF(OR(D20=0, D20="",), IF(OR(D21=0, D21="",),  0, 36/60), 36/60)</f>
        <v>0</v>
      </c>
      <c r="G24" s="92"/>
      <c r="H24" s="26"/>
    </row>
    <row r="25" spans="1:8" s="3" customFormat="1" ht="16">
      <c r="A25" s="27"/>
      <c r="B25" s="99">
        <f>IF(F6 &lt;&gt; " ", IF(F5&gt;8 / 24,F6+F5-8 / 24,0 /24),  IF(F5&gt;8 / 24,F5-8 / 24,0 /24))</f>
        <v>0</v>
      </c>
      <c r="C25" s="25"/>
      <c r="D25" s="28" t="s">
        <v>5</v>
      </c>
      <c r="E25" s="29"/>
      <c r="F25" s="30" t="s">
        <v>31</v>
      </c>
      <c r="G25" s="30"/>
      <c r="H25" s="112"/>
    </row>
    <row r="26" spans="1:8" ht="17" customHeight="1">
      <c r="A26" s="27"/>
      <c r="B26" s="99">
        <f>IF(F9 &lt;&gt; " ", IF(F8&gt;8 / 24,F9+F8-8 / 24,0 /24), IF(F8&gt;8 / 24,F8-8 / 24,0 /24) )</f>
        <v>0</v>
      </c>
      <c r="C26" s="25"/>
      <c r="D26" s="31" t="s">
        <v>1</v>
      </c>
      <c r="E26" s="32"/>
      <c r="F26" s="33">
        <v>430.27</v>
      </c>
      <c r="G26" s="33"/>
      <c r="H26" s="113"/>
    </row>
    <row r="27" spans="1:8" ht="17" customHeight="1" thickBot="1">
      <c r="A27" s="27"/>
      <c r="B27" s="99">
        <f>IF(F12 &lt;&gt; " ", IF(F11&gt;8 / 24,F12+F11-8 / 24,0 /24),IF(F11&gt;8 / 24,F11-8 / 24,0 /24))</f>
        <v>0</v>
      </c>
      <c r="C27" s="25"/>
      <c r="D27" s="34" t="s">
        <v>4</v>
      </c>
      <c r="E27" s="35"/>
      <c r="F27" s="36">
        <f>+F26/35</f>
        <v>12.293428571428571</v>
      </c>
      <c r="G27" s="36">
        <f>+G26/35</f>
        <v>0</v>
      </c>
      <c r="H27" s="114">
        <f>+H26/35</f>
        <v>0</v>
      </c>
    </row>
    <row r="28" spans="1:8" ht="17" customHeight="1">
      <c r="A28" s="156">
        <f>IF(E31+E39&gt;=0,-E39,-E39-(-E39-E31))</f>
        <v>0</v>
      </c>
      <c r="B28" s="99">
        <f>IF(F15 &lt;&gt; " ", IF(F14&gt;8 / 24,F15+F14-8 / 24,0 /24), IF(F14&gt;8 / 24,F14-8 / 24,0 /24))</f>
        <v>0</v>
      </c>
      <c r="C28" s="38"/>
      <c r="D28" s="39" t="s">
        <v>0</v>
      </c>
      <c r="E28" s="40">
        <f>IF(E23&gt;35 / 24,35 / 24,E23)</f>
        <v>0</v>
      </c>
      <c r="F28" s="41">
        <f>(F27*E28)*24</f>
        <v>0</v>
      </c>
      <c r="G28" s="41">
        <f>(G27*E28)*24</f>
        <v>0</v>
      </c>
      <c r="H28" s="101">
        <f>(H27*E28)*24</f>
        <v>0</v>
      </c>
    </row>
    <row r="29" spans="1:8" s="3" customFormat="1" ht="17" customHeight="1">
      <c r="A29" s="157">
        <f>IF(A28 &lt;&gt; -E39, IF(E30 &gt; (-E39-E31), -E39-A28, -E39-(-E39-E31-E30)), 0)</f>
        <v>0</v>
      </c>
      <c r="B29" s="99">
        <f>IF(F18 &lt;&gt; " ", IF(F17&gt;8 / 24,F18+F17-8 / 24,0 /24), IF(F17&gt;8 / 24,F17-8 / 24,0 /24))</f>
        <v>0</v>
      </c>
      <c r="C29" s="42" t="s">
        <v>20</v>
      </c>
      <c r="D29" s="43" t="s">
        <v>6</v>
      </c>
      <c r="E29" s="44">
        <f>IF(E23&gt;35 / 24,IF(E23&lt;43 / 24,E23-35 / 24,8 / 24),0 / 24)</f>
        <v>0</v>
      </c>
      <c r="F29" s="45">
        <f>((F27*E29)*24)*1.25</f>
        <v>0</v>
      </c>
      <c r="G29" s="45">
        <f>((G27*E29)*24)*1.25</f>
        <v>0</v>
      </c>
      <c r="H29" s="102">
        <f>((H27*E29)*24)*1.25</f>
        <v>0</v>
      </c>
    </row>
    <row r="30" spans="1:8" s="3" customFormat="1" ht="17" customHeight="1">
      <c r="A30" s="156">
        <f>IF(A28+A29&lt;&gt;-E39,IF(E29&gt;(-E39-E31-E30),-E39-A29, -E39-(-E39-E31-E30-E29)),0)</f>
        <v>0</v>
      </c>
      <c r="B30" s="99">
        <f ca="1">IF(F21 &lt;&gt; " ", IF(F20&gt;8 / 24,F21+F20-8 / 24,0 /24), IF(F20&gt;8 / 24,F20-8 / 24,0 /24))</f>
        <v>0</v>
      </c>
      <c r="C30" s="46" t="s">
        <v>23</v>
      </c>
      <c r="D30" s="47" t="s">
        <v>7</v>
      </c>
      <c r="E30" s="48">
        <f>IF(E23&gt;48 / 24,5 / 24,IF(E23&gt;43 / 24,E23-43 / 24,0 / 24))</f>
        <v>0</v>
      </c>
      <c r="F30" s="49">
        <f>((F27*E30)*24)*1.5</f>
        <v>0</v>
      </c>
      <c r="G30" s="49">
        <f>((G27*E30)*24)*1.5</f>
        <v>0</v>
      </c>
      <c r="H30" s="103">
        <f>((H27*E30)*24)*1.5</f>
        <v>0</v>
      </c>
    </row>
    <row r="31" spans="1:8" s="3" customFormat="1" ht="17" customHeight="1">
      <c r="A31" s="157">
        <f>IF(A28+A29+A30 &lt;&gt; -E39, IF(E28&gt;(-E39-E31-E30 - E29),-E39-A30, -E39-(-E39-E31-E30-E29-E28)), 0)</f>
        <v>0</v>
      </c>
      <c r="B31" s="148"/>
      <c r="C31" s="42" t="s">
        <v>24</v>
      </c>
      <c r="D31" s="43" t="s">
        <v>21</v>
      </c>
      <c r="E31" s="44">
        <f>IF(E23&gt;48 / 24,E23- 48 / 24,0 /24)</f>
        <v>0</v>
      </c>
      <c r="F31" s="45">
        <f>((F27*E31)*24)*1.75</f>
        <v>0</v>
      </c>
      <c r="G31" s="45">
        <f>((G27*E31)*24)*1.75</f>
        <v>0</v>
      </c>
      <c r="H31" s="102">
        <f>((H27*E31)*24)*1.75</f>
        <v>0</v>
      </c>
    </row>
    <row r="32" spans="1:8" s="3" customFormat="1" ht="17" customHeight="1">
      <c r="A32" s="124"/>
      <c r="B32" s="89"/>
      <c r="C32" s="50"/>
      <c r="D32" s="51" t="s">
        <v>22</v>
      </c>
      <c r="E32" s="52">
        <f>G22</f>
        <v>0</v>
      </c>
      <c r="F32" s="53">
        <f>(F27*E32)*24</f>
        <v>0</v>
      </c>
      <c r="G32" s="53">
        <f>(G27*E32)*24</f>
        <v>0</v>
      </c>
      <c r="H32" s="104">
        <f>(H27*E32)*24</f>
        <v>0</v>
      </c>
    </row>
    <row r="33" spans="1:8" s="3" customFormat="1" ht="17" customHeight="1" thickBot="1">
      <c r="A33" s="37"/>
      <c r="B33" s="54" t="str">
        <f ca="1">IF(Deb &lt; 0.9, "(Studio Agréé 21h à 6h)", "Studio de 22h à 6h")</f>
        <v>Studio de 22h à 6h</v>
      </c>
      <c r="C33" s="55"/>
      <c r="D33" s="56" t="s">
        <v>26</v>
      </c>
      <c r="E33" s="57">
        <f ca="1">F23</f>
        <v>0</v>
      </c>
      <c r="F33" s="58">
        <f ca="1">((F27*(SUM(F23,B25,B26,B27,B28,B29,B30)))*24)*0.5</f>
        <v>0</v>
      </c>
      <c r="G33" s="58">
        <f ca="1">((G27*E33)*24)*0.5</f>
        <v>0</v>
      </c>
      <c r="H33" s="105">
        <f ca="1">((H27*E33)*24)*0.5</f>
        <v>0</v>
      </c>
    </row>
    <row r="34" spans="1:8" s="3" customFormat="1" ht="17" customHeight="1">
      <c r="A34" s="37"/>
      <c r="B34" s="59" t="s">
        <v>9</v>
      </c>
      <c r="C34" s="60"/>
      <c r="D34" s="61" t="s">
        <v>28</v>
      </c>
      <c r="E34" s="62">
        <f>G23</f>
        <v>0</v>
      </c>
      <c r="F34" s="63">
        <f>(F27*E34)*24</f>
        <v>0</v>
      </c>
      <c r="G34" s="63">
        <f>(G27*E34)*24</f>
        <v>0</v>
      </c>
      <c r="H34" s="106">
        <f>(H27*E34)*24</f>
        <v>0</v>
      </c>
    </row>
    <row r="35" spans="1:8" s="3" customFormat="1" ht="17" customHeight="1">
      <c r="A35" s="37"/>
      <c r="B35" s="64">
        <f ca="1">IF(D2&gt;DATE(YEAR(TODAY()),3,31),IF(D2&lt;DATE(YEAR(TODAY()),10,1),22 / 24,20 / 24),20 /24)</f>
        <v>0.91666666666666663</v>
      </c>
      <c r="C35" s="107"/>
      <c r="D35" s="56" t="s">
        <v>25</v>
      </c>
      <c r="E35" s="57">
        <f>H23</f>
        <v>0</v>
      </c>
      <c r="F35" s="58">
        <f>(F27*E35)*24</f>
        <v>0</v>
      </c>
      <c r="G35" s="58">
        <f>(G27*E35)*24</f>
        <v>0</v>
      </c>
      <c r="H35" s="105">
        <f>(G27*E35)*24</f>
        <v>0</v>
      </c>
    </row>
    <row r="36" spans="1:8" s="3" customFormat="1" ht="17" customHeight="1">
      <c r="A36" s="65"/>
      <c r="B36" s="66" t="s">
        <v>8</v>
      </c>
      <c r="C36" s="131"/>
      <c r="D36" s="61" t="s">
        <v>63</v>
      </c>
      <c r="E36" s="62">
        <f>SUM(E6,E9,E12,E15,E18,E21)</f>
        <v>0</v>
      </c>
      <c r="F36" s="63">
        <f>(F27*E36)*24</f>
        <v>0</v>
      </c>
      <c r="G36" s="63">
        <f>(G27*E36)*24</f>
        <v>0</v>
      </c>
      <c r="H36" s="106">
        <f>(H27*E36)*24</f>
        <v>0</v>
      </c>
    </row>
    <row r="37" spans="1:8" s="3" customFormat="1" ht="17" customHeight="1" thickBot="1">
      <c r="A37" s="65" t="s">
        <v>15</v>
      </c>
      <c r="B37" s="68">
        <v>0.25</v>
      </c>
      <c r="C37" s="55"/>
      <c r="D37" s="56" t="s">
        <v>3</v>
      </c>
      <c r="E37" s="57">
        <v>0</v>
      </c>
      <c r="F37" s="58">
        <f>(F27*E37)*24</f>
        <v>0</v>
      </c>
      <c r="G37" s="58">
        <f>(G27*E37)*24</f>
        <v>0</v>
      </c>
      <c r="H37" s="105">
        <f>(H27*E37)*24</f>
        <v>0</v>
      </c>
    </row>
    <row r="38" spans="1:8" ht="17" customHeight="1">
      <c r="A38" s="65" t="s">
        <v>56</v>
      </c>
      <c r="B38" s="97"/>
      <c r="C38" s="67"/>
      <c r="D38" s="61" t="s">
        <v>37</v>
      </c>
      <c r="E38" s="62">
        <f>IF(B7&lt;&gt;"",E5,IF(B10&lt;&gt;"",E8,IF(B13&lt;&gt;"",E11,IF(B16&lt;&gt;"",E14,IF(B19&lt;&gt;"",E17,IF(B22&lt;&gt;"",E20, 0))))))</f>
        <v>0</v>
      </c>
      <c r="F38" s="63">
        <f>(F27*E38)*24</f>
        <v>0</v>
      </c>
      <c r="G38" s="63">
        <v>0</v>
      </c>
      <c r="H38" s="106">
        <v>0</v>
      </c>
    </row>
    <row r="39" spans="1:8" ht="17" thickBot="1">
      <c r="A39" s="91" t="s">
        <v>33</v>
      </c>
      <c r="B39" s="97"/>
      <c r="C39" s="135"/>
      <c r="D39" s="136" t="s">
        <v>32</v>
      </c>
      <c r="E39" s="145">
        <f>-IF(AND(A24=0.6, B24 = 0.6, C24=0.6, D24=0.6, E24 = 0.6, F24 = 0.6), 4/24, (SUM(A24,B24,C24,D24,E24,F24,)/24))</f>
        <v>0</v>
      </c>
      <c r="F39" s="137">
        <f>-((A28*F27*24*1.75)+(A29*F27*24*1.5)+(A30*F27*24*1.25)+(A31*F27*24))</f>
        <v>0</v>
      </c>
      <c r="G39" s="137">
        <f>(G27*E39)*24</f>
        <v>0</v>
      </c>
      <c r="H39" s="138">
        <f>(H27*E39)*24</f>
        <v>0</v>
      </c>
    </row>
    <row r="40" spans="1:8" ht="17" thickBot="1">
      <c r="A40" s="98"/>
      <c r="B40" s="96"/>
      <c r="C40" s="142"/>
      <c r="D40" s="108" t="s">
        <v>19</v>
      </c>
      <c r="E40" s="109">
        <f>IF(E39 &lt; -3/24, IF(E23&lt;(56/24), 52/24, SUM(E23,E39)),  IF(E39=-3/24, (IF(E23&lt;(46/24), 43/24,SUM(E23,E39))),SUM(E23,E39)))</f>
        <v>0</v>
      </c>
      <c r="F40" s="110">
        <f ca="1">IF(E39=-3/24,IF(SUM(F28:F39)&lt;553.2,553.2,SUM(F28:F39)),IF(E39&lt;-3/24,IF(SUM(F28:F39)&lt;731.46,731.46,SUM(F28:F39)),SUM(F28:F39)))</f>
        <v>0</v>
      </c>
      <c r="G40" s="110">
        <f ca="1">SUM(G28:G39)</f>
        <v>0</v>
      </c>
      <c r="H40" s="111">
        <f ca="1">SUM(H28:H39)</f>
        <v>0</v>
      </c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2022-02-19T19:47:03Z</cp:lastPrinted>
  <dcterms:created xsi:type="dcterms:W3CDTF">2002-09-15T20:21:11Z</dcterms:created>
  <dcterms:modified xsi:type="dcterms:W3CDTF">2022-11-04T15:12:01Z</dcterms:modified>
  <cp:category/>
</cp:coreProperties>
</file>