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BD63D403-4279-3A4A-AA64-AFAE99DC225C}" xr6:coauthVersionLast="36" xr6:coauthVersionMax="47" xr10:uidLastSave="{00000000-0000-0000-0000-000000000000}"/>
  <bookViews>
    <workbookView xWindow="2420" yWindow="1040" windowWidth="22080" windowHeight="13840" activeTab="1" xr2:uid="{00000000-000D-0000-FFFF-FFFF00000000}"/>
  </bookViews>
  <sheets>
    <sheet name="Notice" sheetId="9" r:id="rId1"/>
    <sheet name="1er Ass" sheetId="12" r:id="rId2"/>
    <sheet name="2nd Ass" sheetId="13" r:id="rId3"/>
    <sheet name="Ass Adj" sheetId="14" r:id="rId4"/>
  </sheets>
  <definedNames>
    <definedName name="Deb" localSheetId="1">'1er Ass'!$B$34</definedName>
    <definedName name="Deb" localSheetId="2">'2nd Ass'!$B$34</definedName>
    <definedName name="Deb" localSheetId="3">'Ass Adj'!$B$34</definedName>
    <definedName name="Deb">#REF!</definedName>
    <definedName name="Fin" localSheetId="1">'1er Ass'!$B$36</definedName>
    <definedName name="Fin" localSheetId="2">'2nd Ass'!$B$36</definedName>
    <definedName name="Fin" localSheetId="3">'Ass Adj'!$B$36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13" i="12" l="1"/>
  <c r="D13" i="13"/>
  <c r="D19" i="12"/>
  <c r="D19" i="13"/>
  <c r="D17" i="13" l="1"/>
  <c r="D3" i="12"/>
  <c r="D2" i="12"/>
  <c r="B36" i="12"/>
  <c r="F17" i="12" s="1"/>
  <c r="B1" i="14"/>
  <c r="B34" i="12" l="1"/>
  <c r="F21" i="12"/>
  <c r="F22" i="12" s="1"/>
  <c r="F18" i="12"/>
  <c r="F19" i="12" s="1"/>
  <c r="F15" i="12"/>
  <c r="F16" i="12" s="1"/>
  <c r="F12" i="12"/>
  <c r="F13" i="12" s="1"/>
  <c r="F9" i="12"/>
  <c r="F10" i="12" s="1"/>
  <c r="F6" i="12"/>
  <c r="F7" i="12" s="1"/>
  <c r="D2" i="14"/>
  <c r="A6" i="12"/>
  <c r="A14" i="12" s="1"/>
  <c r="C9" i="14"/>
  <c r="A6" i="14" l="1"/>
  <c r="A17" i="14" s="1"/>
  <c r="B36" i="14"/>
  <c r="B34" i="14"/>
  <c r="A25" i="12"/>
  <c r="A5" i="12"/>
  <c r="A25" i="14"/>
  <c r="A9" i="12"/>
  <c r="A8" i="12"/>
  <c r="A17" i="12"/>
  <c r="A11" i="12"/>
  <c r="A20" i="12"/>
  <c r="A7" i="12"/>
  <c r="F5" i="12" s="1"/>
  <c r="B1" i="13"/>
  <c r="A5" i="14" l="1"/>
  <c r="A8" i="14"/>
  <c r="A11" i="14"/>
  <c r="A7" i="14"/>
  <c r="A14" i="14"/>
  <c r="A20" i="14"/>
  <c r="A12" i="12"/>
  <c r="A27" i="12" s="1"/>
  <c r="A26" i="12"/>
  <c r="H23" i="12"/>
  <c r="H20" i="14"/>
  <c r="H17" i="14"/>
  <c r="H14" i="14"/>
  <c r="H11" i="14"/>
  <c r="H8" i="14"/>
  <c r="H5" i="14"/>
  <c r="H20" i="13"/>
  <c r="H17" i="13"/>
  <c r="H14" i="13"/>
  <c r="H11" i="13"/>
  <c r="H8" i="13"/>
  <c r="H5" i="13"/>
  <c r="F1" i="13"/>
  <c r="H23" i="13" l="1"/>
  <c r="H23" i="14"/>
  <c r="A15" i="12"/>
  <c r="A13" i="12"/>
  <c r="F11" i="12" s="1"/>
  <c r="G20" i="12"/>
  <c r="G17" i="12"/>
  <c r="G8" i="12"/>
  <c r="G14" i="12"/>
  <c r="G11" i="12"/>
  <c r="A28" i="12" l="1"/>
  <c r="A16" i="12"/>
  <c r="F14" i="12" s="1"/>
  <c r="A18" i="12"/>
  <c r="A21" i="12" s="1"/>
  <c r="A30" i="12" s="1"/>
  <c r="D20" i="13"/>
  <c r="A29" i="12" l="1"/>
  <c r="C6" i="14"/>
  <c r="C6" i="13"/>
  <c r="B17" i="12"/>
  <c r="B14" i="12"/>
  <c r="B11" i="12"/>
  <c r="B8" i="12"/>
  <c r="B5" i="12"/>
  <c r="B7" i="12" l="1"/>
  <c r="D5" i="13"/>
  <c r="F27" i="14"/>
  <c r="F37" i="14" s="1"/>
  <c r="B10" i="12" l="1"/>
  <c r="D18" i="13"/>
  <c r="B13" i="12" l="1"/>
  <c r="E35" i="14"/>
  <c r="F35" i="14" s="1"/>
  <c r="D21" i="14"/>
  <c r="C21" i="14"/>
  <c r="D20" i="14"/>
  <c r="C20" i="14"/>
  <c r="D18" i="14"/>
  <c r="C18" i="14"/>
  <c r="D17" i="14"/>
  <c r="C17" i="14"/>
  <c r="F18" i="14" s="1"/>
  <c r="F19" i="14" s="1"/>
  <c r="D15" i="14"/>
  <c r="C15" i="14"/>
  <c r="D14" i="14"/>
  <c r="C14" i="14"/>
  <c r="D12" i="14"/>
  <c r="C12" i="14"/>
  <c r="D11" i="14"/>
  <c r="C11" i="14"/>
  <c r="F12" i="14" s="1"/>
  <c r="F13" i="14" s="1"/>
  <c r="D9" i="14"/>
  <c r="D8" i="14"/>
  <c r="C8" i="14"/>
  <c r="F9" i="14" s="1"/>
  <c r="F10" i="14" s="1"/>
  <c r="D6" i="14"/>
  <c r="D5" i="14"/>
  <c r="C5" i="14"/>
  <c r="D3" i="14"/>
  <c r="A9" i="14" s="1"/>
  <c r="B2" i="14"/>
  <c r="F1" i="14"/>
  <c r="D1" i="14"/>
  <c r="C21" i="13"/>
  <c r="C20" i="13"/>
  <c r="F21" i="13" s="1"/>
  <c r="F22" i="13" s="1"/>
  <c r="C18" i="13"/>
  <c r="C17" i="13"/>
  <c r="F18" i="13" s="1"/>
  <c r="F19" i="13" s="1"/>
  <c r="C15" i="13"/>
  <c r="C14" i="13"/>
  <c r="C12" i="13"/>
  <c r="C11" i="13"/>
  <c r="C9" i="13"/>
  <c r="C8" i="13"/>
  <c r="C5" i="13"/>
  <c r="D21" i="13"/>
  <c r="D15" i="13"/>
  <c r="D14" i="13"/>
  <c r="D12" i="13"/>
  <c r="D11" i="13"/>
  <c r="D9" i="13"/>
  <c r="D8" i="13"/>
  <c r="D6" i="13"/>
  <c r="F17" i="14" l="1"/>
  <c r="F9" i="13"/>
  <c r="F10" i="13" s="1"/>
  <c r="F15" i="14"/>
  <c r="F16" i="14" s="1"/>
  <c r="B14" i="13"/>
  <c r="F15" i="13"/>
  <c r="F16" i="13" s="1"/>
  <c r="D22" i="14"/>
  <c r="F21" i="14"/>
  <c r="F22" i="14" s="1"/>
  <c r="B5" i="13"/>
  <c r="F6" i="13"/>
  <c r="F7" i="13" s="1"/>
  <c r="F12" i="13"/>
  <c r="F13" i="13" s="1"/>
  <c r="B5" i="14"/>
  <c r="F6" i="14"/>
  <c r="F7" i="14" s="1"/>
  <c r="F5" i="14"/>
  <c r="A26" i="14"/>
  <c r="G17" i="14"/>
  <c r="A12" i="14"/>
  <c r="A27" i="14" s="1"/>
  <c r="A10" i="14"/>
  <c r="F8" i="14" s="1"/>
  <c r="G20" i="14"/>
  <c r="G20" i="13"/>
  <c r="G8" i="14"/>
  <c r="G8" i="13"/>
  <c r="B11" i="13"/>
  <c r="B17" i="13"/>
  <c r="B11" i="14"/>
  <c r="D16" i="14"/>
  <c r="B14" i="14"/>
  <c r="G17" i="13"/>
  <c r="G11" i="13"/>
  <c r="G11" i="14"/>
  <c r="E20" i="14"/>
  <c r="H22" i="14" s="1"/>
  <c r="G14" i="14"/>
  <c r="G14" i="13"/>
  <c r="B17" i="14"/>
  <c r="D19" i="14"/>
  <c r="C19" i="14"/>
  <c r="E19" i="14" s="1"/>
  <c r="B8" i="13"/>
  <c r="D10" i="14"/>
  <c r="B8" i="14"/>
  <c r="B16" i="12"/>
  <c r="E8" i="14"/>
  <c r="H10" i="14" s="1"/>
  <c r="C10" i="14"/>
  <c r="E10" i="14" s="1"/>
  <c r="E14" i="14"/>
  <c r="H16" i="14" s="1"/>
  <c r="C13" i="14"/>
  <c r="E13" i="14" s="1"/>
  <c r="D7" i="14"/>
  <c r="C7" i="14"/>
  <c r="E7" i="14" s="1"/>
  <c r="E17" i="14"/>
  <c r="E5" i="14"/>
  <c r="E11" i="14"/>
  <c r="H13" i="14" s="1"/>
  <c r="D13" i="14"/>
  <c r="C16" i="14"/>
  <c r="E16" i="14" s="1"/>
  <c r="C22" i="14"/>
  <c r="H19" i="14" l="1"/>
  <c r="A13" i="14"/>
  <c r="F11" i="14" s="1"/>
  <c r="A15" i="14"/>
  <c r="A28" i="14" s="1"/>
  <c r="E23" i="14"/>
  <c r="E39" i="14" s="1"/>
  <c r="E15" i="14"/>
  <c r="B15" i="14" s="1"/>
  <c r="B10" i="14"/>
  <c r="B7" i="14"/>
  <c r="E22" i="14"/>
  <c r="E21" i="14" s="1"/>
  <c r="B21" i="14" s="1"/>
  <c r="B20" i="14"/>
  <c r="E18" i="14"/>
  <c r="B18" i="14" s="1"/>
  <c r="E9" i="14"/>
  <c r="B9" i="14" s="1"/>
  <c r="B19" i="12"/>
  <c r="B22" i="12"/>
  <c r="G23" i="14"/>
  <c r="E34" i="14" s="1"/>
  <c r="F34" i="14" s="1"/>
  <c r="E12" i="14"/>
  <c r="B12" i="14" s="1"/>
  <c r="G23" i="13"/>
  <c r="E34" i="13" s="1"/>
  <c r="E6" i="14"/>
  <c r="B6" i="14" s="1"/>
  <c r="H7" i="14"/>
  <c r="A16" i="14" l="1"/>
  <c r="F14" i="14" s="1"/>
  <c r="A18" i="14"/>
  <c r="A29" i="14" s="1"/>
  <c r="B13" i="14"/>
  <c r="G22" i="14"/>
  <c r="E32" i="14" s="1"/>
  <c r="F32" i="14" s="1"/>
  <c r="E31" i="14"/>
  <c r="F31" i="14" s="1"/>
  <c r="E30" i="14"/>
  <c r="F30" i="14" s="1"/>
  <c r="E28" i="14"/>
  <c r="F28" i="14" s="1"/>
  <c r="E29" i="14"/>
  <c r="F29" i="14" s="1"/>
  <c r="E36" i="14"/>
  <c r="F36" i="14" s="1"/>
  <c r="A21" i="14" l="1"/>
  <c r="A19" i="14"/>
  <c r="B16" i="14"/>
  <c r="A22" i="14" l="1"/>
  <c r="F20" i="14" s="1"/>
  <c r="F23" i="14" s="1"/>
  <c r="E33" i="14" s="1"/>
  <c r="F33" i="14" s="1"/>
  <c r="A30" i="14"/>
  <c r="B19" i="14"/>
  <c r="B22" i="14" l="1"/>
  <c r="E38" i="14" s="1"/>
  <c r="F38" i="14" s="1"/>
  <c r="F39" i="14" s="1"/>
  <c r="D3" i="13"/>
  <c r="D2" i="13"/>
  <c r="D1" i="13"/>
  <c r="B2" i="13"/>
  <c r="F27" i="13"/>
  <c r="E35" i="13"/>
  <c r="F35" i="13" s="1"/>
  <c r="D22" i="13"/>
  <c r="C22" i="13"/>
  <c r="E20" i="13"/>
  <c r="H22" i="13" s="1"/>
  <c r="C19" i="13"/>
  <c r="E19" i="13" s="1"/>
  <c r="E17" i="13"/>
  <c r="D16" i="13"/>
  <c r="C16" i="13"/>
  <c r="E16" i="13" s="1"/>
  <c r="E14" i="13"/>
  <c r="H16" i="13" s="1"/>
  <c r="C13" i="13"/>
  <c r="E13" i="13" s="1"/>
  <c r="E11" i="13"/>
  <c r="H13" i="13" s="1"/>
  <c r="D10" i="13"/>
  <c r="C10" i="13"/>
  <c r="E10" i="13" s="1"/>
  <c r="E8" i="13"/>
  <c r="H10" i="13" s="1"/>
  <c r="D7" i="13"/>
  <c r="C7" i="13"/>
  <c r="E7" i="13" s="1"/>
  <c r="E5" i="13"/>
  <c r="H19" i="13" l="1"/>
  <c r="B34" i="13"/>
  <c r="B36" i="13"/>
  <c r="F17" i="13" s="1"/>
  <c r="A6" i="13"/>
  <c r="A25" i="13" s="1"/>
  <c r="E23" i="13"/>
  <c r="E39" i="13" s="1"/>
  <c r="F37" i="13"/>
  <c r="F34" i="13"/>
  <c r="E22" i="13"/>
  <c r="E21" i="13" s="1"/>
  <c r="B21" i="13" s="1"/>
  <c r="B20" i="13"/>
  <c r="E12" i="13"/>
  <c r="B12" i="13" s="1"/>
  <c r="E15" i="13"/>
  <c r="B15" i="13" s="1"/>
  <c r="E18" i="13"/>
  <c r="B18" i="13" s="1"/>
  <c r="E9" i="13"/>
  <c r="B9" i="13" s="1"/>
  <c r="E6" i="13"/>
  <c r="B6" i="13" s="1"/>
  <c r="H7" i="13"/>
  <c r="E14" i="12"/>
  <c r="H16" i="12" s="1"/>
  <c r="D22" i="12"/>
  <c r="D16" i="12"/>
  <c r="D10" i="12"/>
  <c r="E20" i="12"/>
  <c r="E17" i="12"/>
  <c r="H19" i="12" s="1"/>
  <c r="E11" i="12"/>
  <c r="H13" i="12" s="1"/>
  <c r="E8" i="12"/>
  <c r="E5" i="12"/>
  <c r="D7" i="12"/>
  <c r="C22" i="12"/>
  <c r="B20" i="12" s="1"/>
  <c r="C19" i="12"/>
  <c r="E19" i="12" s="1"/>
  <c r="C16" i="12"/>
  <c r="E16" i="12" s="1"/>
  <c r="C13" i="12"/>
  <c r="E13" i="12" s="1"/>
  <c r="C10" i="12"/>
  <c r="E10" i="12" s="1"/>
  <c r="C7" i="12"/>
  <c r="E7" i="12" s="1"/>
  <c r="F27" i="12"/>
  <c r="H10" i="12" l="1"/>
  <c r="E38" i="12"/>
  <c r="A9" i="13"/>
  <c r="A26" i="13" s="1"/>
  <c r="A14" i="13"/>
  <c r="A20" i="13"/>
  <c r="A8" i="13"/>
  <c r="A17" i="13"/>
  <c r="A7" i="13"/>
  <c r="F5" i="13" s="1"/>
  <c r="A11" i="13"/>
  <c r="A5" i="13"/>
  <c r="B7" i="13" s="1"/>
  <c r="A10" i="12"/>
  <c r="F8" i="12" s="1"/>
  <c r="A19" i="12"/>
  <c r="A22" i="12"/>
  <c r="F20" i="12" s="1"/>
  <c r="H7" i="12"/>
  <c r="E23" i="12"/>
  <c r="E39" i="12" s="1"/>
  <c r="F37" i="12"/>
  <c r="E22" i="12"/>
  <c r="E21" i="12" s="1"/>
  <c r="B21" i="12" s="1"/>
  <c r="G23" i="12"/>
  <c r="E34" i="12" s="1"/>
  <c r="F34" i="12" s="1"/>
  <c r="G22" i="13"/>
  <c r="E32" i="13" s="1"/>
  <c r="F32" i="13" s="1"/>
  <c r="E29" i="13"/>
  <c r="F29" i="13" s="1"/>
  <c r="E30" i="13"/>
  <c r="F30" i="13" s="1"/>
  <c r="E28" i="13"/>
  <c r="F28" i="13" s="1"/>
  <c r="E31" i="13"/>
  <c r="F31" i="13" s="1"/>
  <c r="E36" i="13"/>
  <c r="F36" i="13" s="1"/>
  <c r="H22" i="12"/>
  <c r="E18" i="12"/>
  <c r="B18" i="12" s="1"/>
  <c r="E15" i="12"/>
  <c r="B15" i="12" s="1"/>
  <c r="E12" i="12"/>
  <c r="B12" i="12" s="1"/>
  <c r="E9" i="12"/>
  <c r="B9" i="12" s="1"/>
  <c r="E35" i="12"/>
  <c r="F35" i="12" s="1"/>
  <c r="E6" i="12"/>
  <c r="B6" i="12" s="1"/>
  <c r="A12" i="13" l="1"/>
  <c r="A27" i="13" s="1"/>
  <c r="A10" i="13"/>
  <c r="F8" i="13" s="1"/>
  <c r="G22" i="12"/>
  <c r="E32" i="12" s="1"/>
  <c r="F32" i="12" s="1"/>
  <c r="B10" i="13"/>
  <c r="E36" i="12"/>
  <c r="F36" i="12" s="1"/>
  <c r="E31" i="12"/>
  <c r="F31" i="12" s="1"/>
  <c r="E28" i="12"/>
  <c r="F28" i="12" s="1"/>
  <c r="E30" i="12"/>
  <c r="F30" i="12" s="1"/>
  <c r="E29" i="12"/>
  <c r="F29" i="12" s="1"/>
  <c r="F23" i="12"/>
  <c r="E33" i="12" s="1"/>
  <c r="A15" i="13" l="1"/>
  <c r="A28" i="13" s="1"/>
  <c r="A13" i="13"/>
  <c r="F11" i="13" s="1"/>
  <c r="B13" i="13"/>
  <c r="F33" i="12"/>
  <c r="A16" i="13" l="1"/>
  <c r="F14" i="13" s="1"/>
  <c r="A18" i="13"/>
  <c r="A29" i="13" s="1"/>
  <c r="B16" i="13"/>
  <c r="F38" i="12"/>
  <c r="F39" i="12" s="1"/>
  <c r="B19" i="13" l="1"/>
  <c r="A21" i="13"/>
  <c r="A22" i="13" s="1"/>
  <c r="F20" i="13" s="1"/>
  <c r="A19" i="13"/>
  <c r="F23" i="13" l="1"/>
  <c r="E33" i="13" s="1"/>
  <c r="F33" i="13" s="1"/>
  <c r="A30" i="13"/>
  <c r="B22" i="13"/>
  <c r="E38" i="13" s="1"/>
  <c r="F38" i="13" s="1"/>
  <c r="F39" i="13" l="1"/>
</calcChain>
</file>

<file path=xl/sharedStrings.xml><?xml version="1.0" encoding="utf-8"?>
<sst xmlns="http://schemas.openxmlformats.org/spreadsheetml/2006/main" count="146" uniqueCount="69">
  <si>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</si>
  <si>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</si>
  <si>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</si>
  <si>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</si>
  <si>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</si>
  <si>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</si>
  <si>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</si>
  <si>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</si>
  <si>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</si>
  <si>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</si>
  <si>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</si>
  <si>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</si>
  <si>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</si>
  <si>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</si>
  <si>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de 35h à 43h (8h)</t>
  </si>
  <si>
    <t>HEURES SUP +25 %</t>
  </si>
  <si>
    <t>de 43h à 47h (4h)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</si>
  <si>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</si>
  <si>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</si>
  <si>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</si>
  <si>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</si>
  <si>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</si>
  <si>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</si>
  <si>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MAJ JOURNEE CONTINUE</t>
  </si>
  <si>
    <t>Tarifs SEMAINE</t>
  </si>
  <si>
    <t>MAJ JOUR FERIE</t>
  </si>
  <si>
    <t>Production Audiovisuelle</t>
  </si>
  <si>
    <t>SALAIRE SEMAINE :</t>
  </si>
  <si>
    <t>2e Ass OPV sp</t>
  </si>
  <si>
    <t>et au-delà de 47h</t>
  </si>
  <si>
    <t xml:space="preserve">Remplir la partie "infos" à titre indicatif: Semaine, Prod, Film etc... </t>
  </si>
  <si>
    <t>TV FILM/SERIE :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</si>
  <si>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</si>
  <si>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</si>
  <si>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</si>
  <si>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</si>
  <si>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</si>
  <si>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La feuille générera elle-même les jours de la semaine.</t>
  </si>
  <si>
    <t>Puis remplir les horaires de travail effectifs soit : arrivée sur le plateau et fermeture du camion en fin de journée.</t>
  </si>
  <si>
    <t>Il faut respecter le format  "hh:mm" par exemple 20:00 pour 20h00.</t>
  </si>
  <si>
    <t>Indiquer également les heures de début et de fin de repas (la feuille prend en compte les journées continues</t>
  </si>
  <si>
    <t>et les coupures réduites le cas écheant).</t>
  </si>
  <si>
    <t>Ce classeur de feuilles d'heures se remplit de la façon suivante :</t>
  </si>
  <si>
    <t>Chaque feuille correspond à un poste et donc à un niveau de salaire.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</si>
  <si>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</si>
  <si>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</si>
  <si>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</si>
  <si>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</si>
  <si>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</si>
  <si>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</si>
  <si>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</si>
  <si>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</si>
  <si>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</si>
  <si>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</si>
  <si>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</si>
  <si>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</si>
  <si>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</si>
  <si>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Par exemple : saisir =DATE(2022;2;7) et =DATE(2022;2;11) pour une semaine allant du 07/02/2022 au 11/02/2022.</t>
  </si>
  <si>
    <t>La feuille prend en compte la période des heures de nuit (été ou hiver) en se basant sur les dates de la</t>
  </si>
  <si>
    <t>Tarif semaine 35H</t>
  </si>
  <si>
    <t>Heure Coupure Repas               Début / Fin</t>
  </si>
  <si>
    <t>Heure Coupure Repas                      Début / Fin</t>
  </si>
  <si>
    <t>Heure Coupure Repas                    Début / Fin</t>
  </si>
  <si>
    <t>Matrice d'heures USPA - AOA - Version 1.3 - MaJ du 17/09/2022</t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</si>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</sst>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8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2"/>
      <color theme="3" tint="0.79998168889431442"/>
      <name val="Arial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b/>
      <sz val="11"/>
      <color rgb="FFE26B0A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4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7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6" fillId="13" borderId="9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left" vertical="center"/>
    </xf>
    <xf numFmtId="0" fontId="22" fillId="12" borderId="2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left" vertical="center"/>
    </xf>
    <xf numFmtId="0" fontId="23" fillId="7" borderId="23" xfId="0" applyFont="1" applyFill="1" applyBorder="1" applyAlignment="1">
      <alignment horizontal="left" vertical="center"/>
    </xf>
    <xf numFmtId="0" fontId="23" fillId="11" borderId="24" xfId="0" applyFont="1" applyFill="1" applyBorder="1" applyAlignment="1">
      <alignment horizontal="left" vertical="top"/>
    </xf>
    <xf numFmtId="165" fontId="24" fillId="0" borderId="26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29" fillId="7" borderId="22" xfId="0" applyFont="1" applyFill="1" applyBorder="1" applyAlignment="1">
      <alignment horizontal="right" vertical="center"/>
    </xf>
    <xf numFmtId="0" fontId="29" fillId="7" borderId="13" xfId="0" applyFont="1" applyFill="1" applyBorder="1" applyAlignment="1">
      <alignment horizontal="right" vertical="center"/>
    </xf>
    <xf numFmtId="0" fontId="29" fillId="11" borderId="21" xfId="0" applyFont="1" applyFill="1" applyBorder="1" applyAlignment="1">
      <alignment horizontal="right" vertical="center"/>
    </xf>
    <xf numFmtId="0" fontId="29" fillId="11" borderId="11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164" fontId="30" fillId="12" borderId="2" xfId="0" applyNumberFormat="1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31" fillId="9" borderId="24" xfId="0" applyFont="1" applyFill="1" applyBorder="1"/>
    <xf numFmtId="0" fontId="31" fillId="0" borderId="0" xfId="0" applyFont="1"/>
    <xf numFmtId="0" fontId="32" fillId="5" borderId="24" xfId="0" applyFont="1" applyFill="1" applyBorder="1"/>
    <xf numFmtId="0" fontId="23" fillId="7" borderId="13" xfId="0" applyFont="1" applyFill="1" applyBorder="1" applyAlignment="1" applyProtection="1">
      <alignment horizontal="left" vertical="center"/>
      <protection locked="0"/>
    </xf>
    <xf numFmtId="0" fontId="29" fillId="7" borderId="13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3" fillId="0" borderId="0" xfId="0" applyFont="1"/>
    <xf numFmtId="0" fontId="33" fillId="12" borderId="24" xfId="0" applyFont="1" applyFill="1" applyBorder="1"/>
    <xf numFmtId="164" fontId="7" fillId="12" borderId="26" xfId="0" applyNumberFormat="1" applyFont="1" applyFill="1" applyBorder="1" applyAlignment="1" applyProtection="1">
      <alignment horizontal="center" vertical="center"/>
      <protection locked="0"/>
    </xf>
    <xf numFmtId="165" fontId="7" fillId="12" borderId="26" xfId="0" applyNumberFormat="1" applyFont="1" applyFill="1" applyBorder="1" applyAlignment="1" applyProtection="1">
      <alignment horizontal="center" vertical="center"/>
      <protection locked="0"/>
    </xf>
    <xf numFmtId="0" fontId="32" fillId="9" borderId="24" xfId="0" applyFont="1" applyFill="1" applyBorder="1"/>
    <xf numFmtId="0" fontId="31" fillId="11" borderId="24" xfId="0" applyFont="1" applyFill="1" applyBorder="1"/>
    <xf numFmtId="0" fontId="31" fillId="12" borderId="24" xfId="0" applyFont="1" applyFill="1" applyBorder="1"/>
    <xf numFmtId="0" fontId="33" fillId="12" borderId="30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4" xfId="0" applyFont="1" applyFill="1" applyBorder="1" applyAlignment="1">
      <alignment horizontal="left" vertical="center"/>
    </xf>
    <xf numFmtId="14" fontId="23" fillId="11" borderId="24" xfId="0" applyNumberFormat="1" applyFont="1" applyFill="1" applyBorder="1" applyAlignment="1" applyProtection="1">
      <alignment horizontal="center" vertical="center"/>
      <protection locked="0"/>
    </xf>
    <xf numFmtId="0" fontId="23" fillId="7" borderId="23" xfId="0" applyFont="1" applyFill="1" applyBorder="1" applyAlignment="1" applyProtection="1">
      <alignment horizontal="center" vertical="center"/>
      <protection locked="0"/>
    </xf>
    <xf numFmtId="14" fontId="23" fillId="11" borderId="29" xfId="0" applyNumberFormat="1" applyFont="1" applyFill="1" applyBorder="1" applyAlignment="1" applyProtection="1">
      <alignment horizontal="center" vertical="center" wrapText="1"/>
      <protection locked="0"/>
    </xf>
    <xf numFmtId="14" fontId="8" fillId="12" borderId="21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/>
    </xf>
    <xf numFmtId="164" fontId="27" fillId="4" borderId="21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5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8" fillId="12" borderId="26" xfId="0" applyFont="1" applyFill="1" applyBorder="1" applyAlignment="1" applyProtection="1">
      <alignment horizontal="center" vertical="center"/>
      <protection locked="0"/>
    </xf>
    <xf numFmtId="20" fontId="7" fillId="12" borderId="26" xfId="0" applyNumberFormat="1" applyFont="1" applyFill="1" applyBorder="1" applyAlignment="1" applyProtection="1">
      <alignment horizontal="center" vertical="center"/>
      <protection locked="0"/>
    </xf>
    <xf numFmtId="4" fontId="7" fillId="6" borderId="15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164" fontId="18" fillId="10" borderId="10" xfId="0" applyNumberFormat="1" applyFont="1" applyFill="1" applyBorder="1" applyAlignment="1">
      <alignment horizontal="center" vertical="center"/>
    </xf>
    <xf numFmtId="4" fontId="8" fillId="9" borderId="4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13" borderId="5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right" vertical="center"/>
    </xf>
    <xf numFmtId="0" fontId="13" fillId="6" borderId="26" xfId="0" applyFont="1" applyFill="1" applyBorder="1" applyAlignment="1">
      <alignment horizontal="right" vertical="center"/>
    </xf>
    <xf numFmtId="0" fontId="15" fillId="9" borderId="28" xfId="0" applyFont="1" applyFill="1" applyBorder="1" applyAlignment="1">
      <alignment horizontal="right" vertical="center"/>
    </xf>
    <xf numFmtId="0" fontId="15" fillId="8" borderId="24" xfId="0" applyFont="1" applyFill="1" applyBorder="1" applyAlignment="1">
      <alignment horizontal="right" vertical="center"/>
    </xf>
    <xf numFmtId="0" fontId="15" fillId="9" borderId="24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16" fillId="13" borderId="24" xfId="0" applyFont="1" applyFill="1" applyBorder="1" applyAlignment="1">
      <alignment horizontal="right" vertical="center"/>
    </xf>
    <xf numFmtId="0" fontId="16" fillId="3" borderId="24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8" borderId="15" xfId="0" applyNumberFormat="1" applyFont="1" applyFill="1" applyBorder="1" applyAlignment="1">
      <alignment horizontal="center" vertical="center"/>
    </xf>
    <xf numFmtId="4" fontId="8" fillId="9" borderId="15" xfId="0" applyNumberFormat="1" applyFont="1" applyFill="1" applyBorder="1" applyAlignment="1">
      <alignment horizontal="center" vertical="center"/>
    </xf>
    <xf numFmtId="4" fontId="8" fillId="3" borderId="32" xfId="0" applyNumberFormat="1" applyFont="1" applyFill="1" applyBorder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right" vertical="center"/>
    </xf>
    <xf numFmtId="164" fontId="10" fillId="5" borderId="34" xfId="0" applyNumberFormat="1" applyFont="1" applyFill="1" applyBorder="1" applyAlignment="1">
      <alignment horizontal="center" vertical="center"/>
    </xf>
    <xf numFmtId="4" fontId="10" fillId="5" borderId="35" xfId="0" applyNumberFormat="1" applyFont="1" applyFill="1" applyBorder="1" applyAlignment="1">
      <alignment horizontal="center" vertical="center"/>
    </xf>
    <xf numFmtId="4" fontId="10" fillId="5" borderId="36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3" fillId="14" borderId="27" xfId="0" applyFont="1" applyFill="1" applyBorder="1" applyAlignment="1">
      <alignment horizontal="right" vertical="center"/>
    </xf>
    <xf numFmtId="0" fontId="8" fillId="14" borderId="11" xfId="0" applyFont="1" applyFill="1" applyBorder="1" applyAlignment="1">
      <alignment horizontal="center" vertical="center"/>
    </xf>
    <xf numFmtId="2" fontId="8" fillId="14" borderId="16" xfId="0" applyNumberFormat="1" applyFont="1" applyFill="1" applyBorder="1" applyAlignment="1">
      <alignment horizontal="center" vertical="center"/>
    </xf>
    <xf numFmtId="2" fontId="8" fillId="14" borderId="6" xfId="0" applyNumberFormat="1" applyFont="1" applyFill="1" applyBorder="1" applyAlignment="1">
      <alignment horizontal="center" vertical="center"/>
    </xf>
    <xf numFmtId="0" fontId="31" fillId="4" borderId="24" xfId="0" applyFont="1" applyFill="1" applyBorder="1"/>
    <xf numFmtId="0" fontId="0" fillId="4" borderId="0" xfId="0" applyFill="1"/>
    <xf numFmtId="0" fontId="33" fillId="4" borderId="24" xfId="0" applyFont="1" applyFill="1" applyBorder="1"/>
    <xf numFmtId="0" fontId="33" fillId="4" borderId="0" xfId="0" applyFont="1" applyFill="1"/>
    <xf numFmtId="0" fontId="32" fillId="4" borderId="24" xfId="0" applyFont="1" applyFill="1" applyBorder="1"/>
    <xf numFmtId="0" fontId="31" fillId="4" borderId="0" xfId="0" applyFont="1" applyFill="1"/>
    <xf numFmtId="0" fontId="23" fillId="7" borderId="23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3" xfId="0" applyFont="1" applyFill="1" applyBorder="1" applyAlignment="1">
      <alignment horizontal="left" vertical="center"/>
    </xf>
    <xf numFmtId="0" fontId="35" fillId="4" borderId="2" xfId="0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right"/>
    </xf>
    <xf numFmtId="164" fontId="8" fillId="3" borderId="11" xfId="0" applyNumberFormat="1" applyFont="1" applyFill="1" applyBorder="1" applyAlignment="1">
      <alignment horizontal="center"/>
    </xf>
    <xf numFmtId="2" fontId="8" fillId="3" borderId="16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8" fillId="14" borderId="29" xfId="0" applyNumberFormat="1" applyFont="1" applyFill="1" applyBorder="1" applyAlignment="1">
      <alignment horizontal="center" vertical="center"/>
    </xf>
    <xf numFmtId="4" fontId="8" fillId="9" borderId="28" xfId="0" applyNumberFormat="1" applyFont="1" applyFill="1" applyBorder="1" applyAlignment="1">
      <alignment horizontal="center" vertical="center"/>
    </xf>
    <xf numFmtId="4" fontId="8" fillId="8" borderId="24" xfId="0" applyNumberFormat="1" applyFont="1" applyFill="1" applyBorder="1" applyAlignment="1">
      <alignment horizontal="center" vertical="center"/>
    </xf>
    <xf numFmtId="4" fontId="8" fillId="9" borderId="24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4" fontId="8" fillId="13" borderId="24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right"/>
    </xf>
    <xf numFmtId="164" fontId="8" fillId="3" borderId="0" xfId="0" applyNumberFormat="1" applyFont="1" applyFill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right" vertical="center"/>
    </xf>
    <xf numFmtId="4" fontId="10" fillId="5" borderId="16" xfId="0" applyNumberFormat="1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0" fontId="2" fillId="0" borderId="38" xfId="0" applyFont="1" applyBorder="1"/>
    <xf numFmtId="0" fontId="36" fillId="16" borderId="21" xfId="0" applyFont="1" applyFill="1" applyBorder="1" applyAlignment="1">
      <alignment horizontal="left" vertical="center"/>
    </xf>
    <xf numFmtId="0" fontId="1" fillId="16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37" fillId="16" borderId="20" xfId="0" applyFont="1" applyFill="1" applyBorder="1" applyAlignment="1">
      <alignment horizontal="center"/>
    </xf>
    <xf numFmtId="0" fontId="37" fillId="16" borderId="19" xfId="0" applyFont="1" applyFill="1" applyBorder="1" applyAlignment="1">
      <alignment horizontal="center"/>
    </xf>
    <xf numFmtId="0" fontId="20" fillId="16" borderId="21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right" vertical="center"/>
    </xf>
    <xf numFmtId="164" fontId="9" fillId="2" borderId="40" xfId="0" applyNumberFormat="1" applyFont="1" applyFill="1" applyBorder="1" applyAlignment="1">
      <alignment horizontal="center" vertical="center"/>
    </xf>
    <xf numFmtId="164" fontId="9" fillId="2" borderId="41" xfId="0" applyNumberFormat="1" applyFont="1" applyFill="1" applyBorder="1" applyAlignment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wrapText="1"/>
    </xf>
    <xf numFmtId="164" fontId="38" fillId="4" borderId="21" xfId="0" applyNumberFormat="1" applyFont="1" applyFill="1" applyBorder="1" applyAlignment="1">
      <alignment horizontal="center" vertical="center"/>
    </xf>
    <xf numFmtId="164" fontId="24" fillId="4" borderId="21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39" fillId="4" borderId="22" xfId="0" applyFont="1" applyFill="1" applyBorder="1"/>
    <xf numFmtId="0" fontId="39" fillId="4" borderId="13" xfId="0" applyFont="1" applyFill="1" applyBorder="1"/>
    <xf numFmtId="0" fontId="39" fillId="4" borderId="23" xfId="0" applyFont="1" applyFill="1" applyBorder="1"/>
    <xf numFmtId="0" fontId="40" fillId="4" borderId="21" xfId="0" applyFont="1" applyFill="1" applyBorder="1"/>
    <xf numFmtId="0" fontId="40" fillId="4" borderId="0" xfId="0" applyFont="1" applyFill="1"/>
    <xf numFmtId="0" fontId="40" fillId="4" borderId="24" xfId="0" applyFont="1" applyFill="1" applyBorder="1"/>
    <xf numFmtId="0" fontId="41" fillId="4" borderId="21" xfId="0" applyFont="1" applyFill="1" applyBorder="1" applyAlignment="1">
      <alignment vertical="center"/>
    </xf>
    <xf numFmtId="0" fontId="42" fillId="4" borderId="0" xfId="0" applyFont="1" applyFill="1" applyAlignment="1">
      <alignment vertical="center"/>
    </xf>
    <xf numFmtId="0" fontId="40" fillId="4" borderId="24" xfId="0" applyFont="1" applyFill="1" applyBorder="1" applyAlignment="1">
      <alignment vertical="center"/>
    </xf>
    <xf numFmtId="0" fontId="43" fillId="4" borderId="21" xfId="0" applyFont="1" applyFill="1" applyBorder="1" applyAlignment="1">
      <alignment vertical="center"/>
    </xf>
    <xf numFmtId="0" fontId="42" fillId="11" borderId="21" xfId="0" applyFont="1" applyFill="1" applyBorder="1" applyAlignment="1">
      <alignment vertical="center"/>
    </xf>
    <xf numFmtId="0" fontId="42" fillId="11" borderId="0" xfId="0" applyFont="1" applyFill="1" applyAlignment="1">
      <alignment vertical="center"/>
    </xf>
    <xf numFmtId="0" fontId="42" fillId="11" borderId="24" xfId="0" applyFont="1" applyFill="1" applyBorder="1" applyAlignment="1">
      <alignment vertical="center"/>
    </xf>
    <xf numFmtId="0" fontId="42" fillId="4" borderId="21" xfId="0" applyFont="1" applyFill="1" applyBorder="1" applyAlignment="1">
      <alignment vertical="center"/>
    </xf>
    <xf numFmtId="0" fontId="42" fillId="4" borderId="24" xfId="0" applyFont="1" applyFill="1" applyBorder="1" applyAlignment="1">
      <alignment vertical="center"/>
    </xf>
    <xf numFmtId="0" fontId="42" fillId="12" borderId="21" xfId="0" applyFont="1" applyFill="1" applyBorder="1" applyAlignment="1">
      <alignment vertical="center"/>
    </xf>
    <xf numFmtId="0" fontId="42" fillId="12" borderId="0" xfId="0" applyFont="1" applyFill="1" applyAlignment="1">
      <alignment vertical="center"/>
    </xf>
    <xf numFmtId="0" fontId="42" fillId="12" borderId="24" xfId="0" applyFont="1" applyFill="1" applyBorder="1" applyAlignment="1">
      <alignment vertical="center"/>
    </xf>
    <xf numFmtId="0" fontId="41" fillId="12" borderId="21" xfId="0" applyFont="1" applyFill="1" applyBorder="1" applyAlignment="1">
      <alignment vertical="center"/>
    </xf>
    <xf numFmtId="0" fontId="42" fillId="9" borderId="21" xfId="0" applyFont="1" applyFill="1" applyBorder="1" applyAlignment="1">
      <alignment vertical="center"/>
    </xf>
    <xf numFmtId="0" fontId="42" fillId="9" borderId="0" xfId="0" applyFont="1" applyFill="1" applyAlignment="1">
      <alignment vertical="center"/>
    </xf>
    <xf numFmtId="0" fontId="42" fillId="9" borderId="24" xfId="0" applyFont="1" applyFill="1" applyBorder="1" applyAlignment="1">
      <alignment vertical="center"/>
    </xf>
    <xf numFmtId="0" fontId="44" fillId="9" borderId="21" xfId="0" applyFont="1" applyFill="1" applyBorder="1" applyAlignment="1">
      <alignment vertical="center"/>
    </xf>
    <xf numFmtId="0" fontId="45" fillId="9" borderId="0" xfId="0" applyFont="1" applyFill="1" applyAlignment="1">
      <alignment vertical="center"/>
    </xf>
    <xf numFmtId="0" fontId="45" fillId="9" borderId="24" xfId="0" applyFont="1" applyFill="1" applyBorder="1" applyAlignment="1">
      <alignment vertical="center"/>
    </xf>
    <xf numFmtId="0" fontId="44" fillId="4" borderId="21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5" fillId="4" borderId="24" xfId="0" applyFont="1" applyFill="1" applyBorder="1" applyAlignment="1">
      <alignment vertical="center"/>
    </xf>
    <xf numFmtId="0" fontId="47" fillId="12" borderId="0" xfId="0" applyFont="1" applyFill="1" applyAlignment="1">
      <alignment vertical="center"/>
    </xf>
    <xf numFmtId="0" fontId="47" fillId="12" borderId="24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7" fillId="4" borderId="24" xfId="0" applyFont="1" applyFill="1" applyBorder="1" applyAlignment="1">
      <alignment vertical="center"/>
    </xf>
    <xf numFmtId="0" fontId="42" fillId="4" borderId="20" xfId="0" applyFont="1" applyFill="1" applyBorder="1" applyAlignment="1">
      <alignment vertical="center"/>
    </xf>
    <xf numFmtId="0" fontId="47" fillId="4" borderId="19" xfId="0" applyFont="1" applyFill="1" applyBorder="1" applyAlignment="1">
      <alignment vertical="center"/>
    </xf>
    <xf numFmtId="0" fontId="47" fillId="4" borderId="30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3"/>
  <sheetViews>
    <sheetView topLeftCell="A14" zoomScale="75" zoomScaleNormal="75" workbookViewId="0">
      <selection activeCell="H29" sqref="H29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72" t="s">
        <v>63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  <c r="L1" s="49"/>
    </row>
    <row r="2" spans="1:12" ht="12" customHeight="1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7"/>
      <c r="L2" s="50"/>
    </row>
    <row r="3" spans="1:12" ht="26" customHeight="1">
      <c r="A3" s="178" t="s">
        <v>42</v>
      </c>
      <c r="B3" s="179"/>
      <c r="C3" s="179"/>
      <c r="D3" s="179"/>
      <c r="E3" s="179"/>
      <c r="F3" s="179"/>
      <c r="G3" s="179"/>
      <c r="H3" s="179"/>
      <c r="I3" s="179"/>
      <c r="J3" s="179"/>
      <c r="K3" s="180"/>
      <c r="L3" s="50"/>
    </row>
    <row r="4" spans="1:12" ht="24" customHeight="1">
      <c r="A4" s="181" t="s">
        <v>43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  <c r="L4" s="50"/>
    </row>
    <row r="5" spans="1:12" ht="24" customHeight="1">
      <c r="A5" s="181"/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50"/>
    </row>
    <row r="6" spans="1:12" ht="28" customHeight="1">
      <c r="A6" s="182" t="s">
        <v>30</v>
      </c>
      <c r="B6" s="183"/>
      <c r="C6" s="183"/>
      <c r="D6" s="183"/>
      <c r="E6" s="183"/>
      <c r="F6" s="183"/>
      <c r="G6" s="183"/>
      <c r="H6" s="183"/>
      <c r="I6" s="183"/>
      <c r="J6" s="183"/>
      <c r="K6" s="184"/>
      <c r="L6" s="62"/>
    </row>
    <row r="7" spans="1:12" ht="23" customHeight="1">
      <c r="A7" s="182" t="s">
        <v>64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62"/>
    </row>
    <row r="8" spans="1:12" ht="23" customHeight="1">
      <c r="A8" s="182" t="s">
        <v>37</v>
      </c>
      <c r="B8" s="183"/>
      <c r="C8" s="183"/>
      <c r="D8" s="183"/>
      <c r="E8" s="183"/>
      <c r="F8" s="183"/>
      <c r="G8" s="183"/>
      <c r="H8" s="183"/>
      <c r="I8" s="183"/>
      <c r="J8" s="183"/>
      <c r="K8" s="184"/>
      <c r="L8" s="62"/>
    </row>
    <row r="9" spans="1:12" ht="23" customHeight="1">
      <c r="A9" s="182"/>
      <c r="B9" s="183"/>
      <c r="C9" s="183"/>
      <c r="D9" s="183"/>
      <c r="E9" s="183"/>
      <c r="F9" s="183"/>
      <c r="G9" s="183"/>
      <c r="H9" s="183"/>
      <c r="I9" s="183"/>
      <c r="J9" s="183"/>
      <c r="K9" s="184"/>
      <c r="L9" s="62"/>
    </row>
    <row r="10" spans="1:12" ht="23" customHeight="1">
      <c r="A10" s="182" t="s">
        <v>57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  <c r="L10" s="62"/>
    </row>
    <row r="11" spans="1:12" s="120" customFormat="1" ht="23" customHeight="1">
      <c r="A11" s="185"/>
      <c r="B11" s="179"/>
      <c r="C11" s="179"/>
      <c r="D11" s="179"/>
      <c r="E11" s="179"/>
      <c r="F11" s="179"/>
      <c r="G11" s="179"/>
      <c r="H11" s="179"/>
      <c r="I11" s="179"/>
      <c r="J11" s="179"/>
      <c r="K11" s="186"/>
      <c r="L11" s="119"/>
    </row>
    <row r="12" spans="1:12" ht="27" customHeight="1">
      <c r="A12" s="187" t="s">
        <v>38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9"/>
      <c r="L12" s="63"/>
    </row>
    <row r="13" spans="1:12" ht="24" customHeight="1">
      <c r="A13" s="190" t="s">
        <v>39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9"/>
      <c r="L13" s="63"/>
    </row>
    <row r="14" spans="1:12" ht="24" customHeight="1">
      <c r="A14" s="187" t="s">
        <v>40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9"/>
      <c r="L14" s="63"/>
    </row>
    <row r="15" spans="1:12" ht="24" customHeight="1">
      <c r="A15" s="187" t="s">
        <v>41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  <c r="L15" s="63"/>
    </row>
    <row r="16" spans="1:12" ht="24" customHeight="1">
      <c r="A16" s="187"/>
      <c r="B16" s="188"/>
      <c r="C16" s="188"/>
      <c r="D16" s="188"/>
      <c r="E16" s="188"/>
      <c r="F16" s="188"/>
      <c r="G16" s="188"/>
      <c r="H16" s="188"/>
      <c r="I16" s="188"/>
      <c r="J16" s="188"/>
      <c r="K16" s="189"/>
      <c r="L16" s="63"/>
    </row>
    <row r="17" spans="1:12" ht="25" customHeight="1">
      <c r="A17" s="187" t="s">
        <v>65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9"/>
      <c r="L17" s="63"/>
    </row>
    <row r="18" spans="1:12" ht="24" customHeight="1">
      <c r="A18" s="187" t="s">
        <v>51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9"/>
      <c r="L18" s="63"/>
    </row>
    <row r="19" spans="1:12" ht="24" customHeight="1">
      <c r="A19" s="187" t="s">
        <v>52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9"/>
      <c r="L19" s="63"/>
    </row>
    <row r="20" spans="1:12" s="120" customFormat="1" ht="24" customHeight="1">
      <c r="A20" s="185"/>
      <c r="B20" s="179"/>
      <c r="C20" s="179"/>
      <c r="D20" s="179"/>
      <c r="E20" s="179"/>
      <c r="F20" s="179"/>
      <c r="G20" s="179"/>
      <c r="H20" s="179"/>
      <c r="I20" s="179"/>
      <c r="J20" s="179"/>
      <c r="K20" s="186"/>
      <c r="L20" s="119"/>
    </row>
    <row r="21" spans="1:12" s="52" customFormat="1" ht="25" customHeight="1">
      <c r="A21" s="191" t="s">
        <v>36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3"/>
      <c r="L21" s="51"/>
    </row>
    <row r="22" spans="1:12" s="52" customFormat="1" ht="25" customHeight="1">
      <c r="A22" s="194" t="s">
        <v>35</v>
      </c>
      <c r="B22" s="195"/>
      <c r="C22" s="195"/>
      <c r="D22" s="195"/>
      <c r="E22" s="195"/>
      <c r="F22" s="195"/>
      <c r="G22" s="195"/>
      <c r="H22" s="195"/>
      <c r="I22" s="195"/>
      <c r="J22" s="195"/>
      <c r="K22" s="196"/>
      <c r="L22" s="61"/>
    </row>
    <row r="23" spans="1:12" s="52" customFormat="1" ht="23" customHeight="1">
      <c r="A23" s="194" t="s">
        <v>58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6"/>
    </row>
    <row r="24" spans="1:12" s="52" customFormat="1" ht="23" customHeight="1">
      <c r="A24" s="194" t="s">
        <v>66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2" s="52" customFormat="1" ht="23" customHeight="1">
      <c r="A25" s="194" t="s">
        <v>67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6"/>
    </row>
    <row r="26" spans="1:12" s="124" customFormat="1" ht="25" customHeight="1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199"/>
      <c r="L26" s="123"/>
    </row>
    <row r="27" spans="1:12" ht="25" customHeight="1">
      <c r="A27" s="187" t="s">
        <v>44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1"/>
      <c r="L27" s="53"/>
    </row>
    <row r="28" spans="1:12" ht="25" customHeight="1">
      <c r="A28" s="187" t="s">
        <v>45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1"/>
      <c r="L28" s="53"/>
    </row>
    <row r="29" spans="1:12" s="120" customFormat="1" ht="25" customHeight="1">
      <c r="A29" s="185"/>
      <c r="B29" s="202"/>
      <c r="C29" s="202"/>
      <c r="D29" s="202"/>
      <c r="E29" s="202"/>
      <c r="F29" s="202"/>
      <c r="G29" s="202"/>
      <c r="H29" s="202"/>
      <c r="I29" s="202"/>
      <c r="J29" s="202"/>
      <c r="K29" s="203"/>
      <c r="L29" s="123"/>
    </row>
    <row r="30" spans="1:12" s="57" customFormat="1" ht="25" customHeight="1">
      <c r="A30" s="204" t="s">
        <v>46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  <c r="L30" s="58"/>
    </row>
    <row r="31" spans="1:12" s="57" customFormat="1" ht="25" customHeight="1">
      <c r="A31"/>
      <c r="B31"/>
      <c r="C31"/>
      <c r="D31"/>
      <c r="E31"/>
      <c r="F31"/>
      <c r="G31"/>
      <c r="H31"/>
      <c r="I31"/>
      <c r="J31"/>
      <c r="K31"/>
      <c r="L31" s="58"/>
    </row>
    <row r="32" spans="1:12" s="122" customFormat="1" ht="25" customHeight="1">
      <c r="A32"/>
      <c r="B32"/>
      <c r="C32"/>
      <c r="D32"/>
      <c r="E32"/>
      <c r="F32"/>
      <c r="G32"/>
      <c r="H32"/>
      <c r="I32"/>
      <c r="J32"/>
      <c r="K32"/>
      <c r="L32" s="121"/>
    </row>
    <row r="33" spans="1:12" s="57" customFormat="1" ht="25" customHeight="1">
      <c r="A33"/>
      <c r="B33"/>
      <c r="C33"/>
      <c r="D33"/>
      <c r="E33"/>
      <c r="F33"/>
      <c r="G33"/>
      <c r="H33"/>
      <c r="I33"/>
      <c r="J33"/>
      <c r="K33"/>
      <c r="L33" s="64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.25" right="0.25" top="0.75" bottom="0.75" header="0.3" footer="0.3"/>
  <pageSetup paperSize="9" scale="7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39"/>
  <sheetViews>
    <sheetView tabSelected="1"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">
        <v>47</v>
      </c>
      <c r="C1" s="130"/>
      <c r="D1" s="68" t="s">
        <v>48</v>
      </c>
      <c r="E1" s="43" t="s">
        <v>1</v>
      </c>
      <c r="F1" s="54" t="s">
        <v>2</v>
      </c>
      <c r="G1" s="128"/>
      <c r="H1" s="37"/>
    </row>
    <row r="2" spans="1:8" ht="20" customHeight="1">
      <c r="A2" s="44" t="s">
        <v>31</v>
      </c>
      <c r="B2" s="56" t="s">
        <v>49</v>
      </c>
      <c r="C2" s="65" t="s">
        <v>53</v>
      </c>
      <c r="D2" s="67">
        <f>DATE(2022,9,12)</f>
        <v>43354</v>
      </c>
      <c r="E2" s="65" t="s">
        <v>3</v>
      </c>
      <c r="F2" s="56" t="s">
        <v>50</v>
      </c>
      <c r="G2" s="127"/>
      <c r="H2" s="66"/>
    </row>
    <row r="3" spans="1:8" ht="20" customHeight="1" thickBot="1">
      <c r="A3" s="44"/>
      <c r="B3" s="127"/>
      <c r="C3" s="65" t="s">
        <v>54</v>
      </c>
      <c r="D3" s="69">
        <f>DATE(2022,9,16)</f>
        <v>43358</v>
      </c>
      <c r="E3" s="45"/>
      <c r="F3" s="126"/>
      <c r="G3" s="126"/>
      <c r="H3" s="38"/>
    </row>
    <row r="4" spans="1:8" s="3" customFormat="1" ht="46.5" customHeight="1">
      <c r="A4" s="25" t="s">
        <v>4</v>
      </c>
      <c r="B4" s="26" t="s">
        <v>32</v>
      </c>
      <c r="C4" s="26" t="s">
        <v>61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9">
        <v>0</v>
      </c>
      <c r="D5" s="71"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v>0</v>
      </c>
    </row>
    <row r="6" spans="1:8" ht="17.25" customHeight="1">
      <c r="A6" s="70">
        <f>D2</f>
        <v>43354</v>
      </c>
      <c r="B6" s="78" t="str">
        <f>IF(E6=0 / 24, "","(journée continue)")</f>
        <v/>
      </c>
      <c r="C6" s="129">
        <v>0</v>
      </c>
      <c r="D6" s="71"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7">
        <f>IF(A6="", Deb, IF(A6&gt;DATE(YEAR(A6),3,20),IF(A6&lt;DATE(YEAR(A6),12,21),22 / 24,20 / 24),20 /24))</f>
        <v>0.91666666666666663</v>
      </c>
      <c r="B7" s="74" t="str">
        <f>IF(A6 &lt;&gt; "", IF(A5="DIMANCHE", "(majoration dimanche)", ""), "")</f>
        <v/>
      </c>
      <c r="C7" s="80">
        <f>IF(C6 = C5, (MOD(D6-D5,1)),0)</f>
        <v>0</v>
      </c>
      <c r="D7" s="72">
        <f>IF(C5=0 / 24,0,IF((MOD(C5-D5,1))&lt;6.05 / 24,0,0.5 / 24))</f>
        <v>0</v>
      </c>
      <c r="E7" s="40">
        <f>IF(C7&gt;(6.05 / 24),0.5 / 24,(IF(C5 = C6, IF(MOD(D6-D5, 1) &lt;6.05/24, 0, 0.5/24), IF((MOD(D6-C6,1))&lt;6.05/24,0,0.5/24))))</f>
        <v>0</v>
      </c>
      <c r="F7" s="16" t="str">
        <f>IF(OR(F6=" ", F6=0)," ","(minoration repas nuit)")</f>
        <v xml:space="preserve"> </v>
      </c>
      <c r="G7" s="131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2" t="str">
        <f>IF(OR(C8&lt;&gt;0, C9 &lt;&gt;0,), IF(MOD(C9-C8, 1) &lt; 0.041, "(pause réduite)", ""), "")</f>
        <v/>
      </c>
      <c r="C8" s="129">
        <v>0</v>
      </c>
      <c r="D8" s="71"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v>0</v>
      </c>
    </row>
    <row r="9" spans="1:8" ht="17.25" customHeight="1">
      <c r="A9" s="70">
        <f>IF(AND(DATE(YEAR(D2),MONTH(D2),DAY(D2))&lt;DATE(YEAR(D3),MONTH(D3),DAY(D3)), A6&lt;&gt;""),DATE(YEAR(D2),MONTH(D2),DAY(D2)+1),"")</f>
        <v>43355</v>
      </c>
      <c r="B9" s="15" t="str">
        <f>IF(E9=0 / 24, "","(journée continue)")</f>
        <v/>
      </c>
      <c r="C9" s="129">
        <v>0</v>
      </c>
      <c r="D9" s="71"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7">
        <f>IF(A9="", Deb, IF(A9&gt;DATE(YEAR(A9),3,20),IF(A9&lt;DATE(YEAR(A9),12,21),22 / 24,20 / 24),20 /24))</f>
        <v>0.91666666666666663</v>
      </c>
      <c r="B10" s="74" t="str">
        <f>IF(A9 &lt;&gt; "", IF(A8="DIMANCHE", "(majoration dimanche)", ""), "")</f>
        <v/>
      </c>
      <c r="C10" s="80">
        <f>IF(C9 = C8, (MOD(D9-D8,1)),0)</f>
        <v>0</v>
      </c>
      <c r="D10" s="72">
        <f>IF(C8=0 / 24,0,IF((MOD(C8-D8,1))&lt;6.05 / 24,0,0.5 / 24))</f>
        <v>0</v>
      </c>
      <c r="E10" s="80">
        <f>IF(C10&gt;(6.05 / 24),0.5 / 24,(IF(C8 = C9, IF(MOD(D9-D8, 1) &lt;6.05/24, 0, 0.5/24), IF((MOD(D9-C9,1))&lt;6.05/24,0,0.5/24))))</f>
        <v>0</v>
      </c>
      <c r="F10" s="16" t="str">
        <f>IF(F9=" "," ","(minoration repas nuit)")</f>
        <v xml:space="preserve"> </v>
      </c>
      <c r="G10" s="131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2" t="str">
        <f>IF(OR(C11&lt;&gt;0, C12 &lt;&gt;0,), IF(MOD(C12-C11, 1) &lt; 0.041, "(pause réduite)", ""), "")</f>
        <v/>
      </c>
      <c r="C11" s="129">
        <v>0</v>
      </c>
      <c r="D11" s="71"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v>0</v>
      </c>
    </row>
    <row r="12" spans="1:8" ht="17.25" customHeight="1">
      <c r="A12" s="70">
        <f>IF(AND(DATE(YEAR(A9),MONTH(A9),DAY(A9))&lt;DATE(YEAR(D3),MONTH(D3),DAY(D3)), A9&lt;&gt;""),DATE(YEAR(D2),MONTH(D2),DAY(D2)+2), "")</f>
        <v>43356</v>
      </c>
      <c r="B12" s="15" t="str">
        <f>IF(E12=0 / 24, "","(journée continue)")</f>
        <v/>
      </c>
      <c r="C12" s="129">
        <v>0</v>
      </c>
      <c r="D12" s="73"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2"/>
    </row>
    <row r="13" spans="1:8" ht="17.25" customHeight="1">
      <c r="A13" s="77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80">
        <f>IF(C12 = C11, (MOD(D12-D11,1)),0)</f>
        <v>0</v>
      </c>
      <c r="D13" s="72">
        <f>IF(C11=0 / 24,0,IF((MOD(C11-D11,1))&lt;6.05 / 24,0,0.5 / 24))</f>
        <v>0</v>
      </c>
      <c r="E13" s="40">
        <f>IF(C13&gt;(6.05 / 24),0.5 / 24,(IF(C11 = C12, IF(MOD(D12-D11, 1) &lt;6.05/24, 0, 0.5/24), IF((MOD(D12-C12,1))&lt;6.05/24,0,0.5/24))))</f>
        <v>0</v>
      </c>
      <c r="F13" s="16" t="str">
        <f>IF(F12=" "," ","(minoration repas nuit)")</f>
        <v xml:space="preserve"> </v>
      </c>
      <c r="G13" s="132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2" t="str">
        <f>IF(OR(C14&lt;&gt;0, C15 &lt;&gt;0,), IF(MOD(C15-C14, 1) &lt; 0.041, "(pause réduite)", ""), "")</f>
        <v/>
      </c>
      <c r="C14" s="129">
        <v>0</v>
      </c>
      <c r="D14" s="71"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v>0</v>
      </c>
    </row>
    <row r="15" spans="1:8" ht="17.25" customHeight="1">
      <c r="A15" s="70">
        <f>IF(A12&lt;&gt; "", (IF(DATE(YEAR(A12),MONTH(A12),DAY(A12))&lt;DATE(YEAR(D3),MONTH(D3),DAY(D3)),DATE(YEAR(D2),MONTH(D2),(DAY(D2)+3)), "")), "")</f>
        <v>43357</v>
      </c>
      <c r="B15" s="15" t="str">
        <f>IF(E15=0 / 24, "","(journée continue)")</f>
        <v/>
      </c>
      <c r="C15" s="129">
        <v>0</v>
      </c>
      <c r="D15" s="71"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7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80">
        <f>IF(C14 = C15, (MOD(D15-D14,1)),0)</f>
        <v>0</v>
      </c>
      <c r="D16" s="72">
        <f>IF(C14=0 / 24,0,IF((MOD(C14-D14,1))&lt;6.05 / 24,0,0.5 / 24))</f>
        <v>0</v>
      </c>
      <c r="E16" s="40">
        <f>IF(C16&gt;(6.05 / 24),0.5 / 24,(IF(C15 = C14, IF(MOD(D15-D14, 1) &lt;6.05/24, 0, 0.5/24), IF((MOD(D15-C15,1))&lt;6.05/24,0,0.5/24))))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2" t="str">
        <f>IF(OR(C17&lt;&gt;0, C18 &lt;&gt;0,), IF(MOD(C18-C17, 1) &lt; 0.041, "(pause réduite)", ""), "")</f>
        <v/>
      </c>
      <c r="C17" s="129">
        <v>0</v>
      </c>
      <c r="D17" s="71">
        <v>0</v>
      </c>
      <c r="E17" s="47">
        <f>IF(D17=" ",0/24,((MOD(D18-D17,1))-MOD(C18-C17,1)))</f>
        <v>0</v>
      </c>
      <c r="F17" s="47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v>0</v>
      </c>
    </row>
    <row r="18" spans="1:8" ht="17.25" customHeight="1">
      <c r="A18" s="70">
        <f>IF(A15&lt;&gt; "", (IF(DATE(YEAR(A15),MONTH(A15),DAY(A15))&lt;DATE(YEAR(D3),MONTH(D3),DAY(D3)),DATE(YEAR(D2),MONTH(D2),(DAY(D2)+4)), "")), "")</f>
        <v>43358</v>
      </c>
      <c r="B18" s="15" t="str">
        <f>IF(E18=0 / 24, "","(journée continue)")</f>
        <v/>
      </c>
      <c r="C18" s="129">
        <v>0</v>
      </c>
      <c r="D18" s="71"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7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80">
        <f>IF(C17 = C18, (MOD(D18-D17,1)),0)</f>
        <v>0</v>
      </c>
      <c r="D19" s="72">
        <f>IF(C17=0 / 24,0,IF((MOD(C17-D17,1))&lt;6.05 / 24,0,0.5 / 24))</f>
        <v>0</v>
      </c>
      <c r="E19" s="40">
        <f>IF(C19&gt;(6.05 / 24),0.5 / 24,(IF(C17 = C18, IF(MOD(D18-D17, 1) &lt;6.05/24, 0, 0.5/24), IF((MOD(D18-C18,1))&lt;6.05/24,0,0.5/24))))</f>
        <v>0</v>
      </c>
      <c r="F19" s="16" t="str">
        <f>IF(F18=" "," ","(minoration repas nuit)")</f>
        <v xml:space="preserve"> </v>
      </c>
      <c r="G19" s="79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2" t="str">
        <f>IF(OR(C21&lt;&gt;0, C22 &lt;&gt;0,), IF(MOD(C21-C20, 1) &lt; 0.041, "(pause réduite)", ""), "")</f>
        <v/>
      </c>
      <c r="C20" s="129">
        <v>0</v>
      </c>
      <c r="D20" s="71">
        <v>0</v>
      </c>
      <c r="E20" s="47">
        <f>IF(D20= " ",0/24,((MOD(D21-D20,1))-MOD(C21-C20,1)))</f>
        <v>0</v>
      </c>
      <c r="F20" s="47">
        <f ca="1"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v>0</v>
      </c>
    </row>
    <row r="21" spans="1:8" ht="17.25" customHeight="1">
      <c r="A21" s="70" t="str">
        <f>IF(A18&lt;&gt; "", (IF(DATE(YEAR(A18),MONTH(A18),DAY(A18))&lt;DATE(YEAR(D3),MONTH(D3),DAY(D3)),DATE(YEAR(D2),MONTH(D2),(DAY(D2)+5)), "")), "")</f>
        <v/>
      </c>
      <c r="B21" s="15" t="str">
        <f>IF(E21=0 / 24, "","(journée continue)")</f>
        <v/>
      </c>
      <c r="C21" s="129">
        <v>0</v>
      </c>
      <c r="D21" s="71"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1"/>
    </row>
    <row r="22" spans="1:8" ht="17.25" customHeight="1">
      <c r="A22" s="77">
        <f ca="1"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80">
        <f>IF(C20 = C21, (MOD(D21-D20,1)),0)</f>
        <v>0</v>
      </c>
      <c r="D22" s="72">
        <f>IF(C20=0 / 24,0,IF((MOD(C20-D20,1))&lt;6.05 / 24,0,0.5 / 24))</f>
        <v>0</v>
      </c>
      <c r="E22" s="40">
        <f>IF(C22&gt;(6.05 / 24),0.5 / 24,(IF(C21 = C20, IF(MOD(D21-D20, 1) &lt;6.05/24, 0, 0.5/24), IF((MOD(D21-C21,1))&lt;6.05/24,0,0.5/24))))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211"/>
      <c r="C23" s="162"/>
      <c r="D23" s="163" t="s">
        <v>9</v>
      </c>
      <c r="E23" s="164">
        <f>SUM(E5,E8,E11,E14,E17,E20)</f>
        <v>0</v>
      </c>
      <c r="F23" s="164">
        <f ca="1">SUM(F5,F6,F8,F9,F11,F12,F14,F15,F17,F18,F20,F21)</f>
        <v>0</v>
      </c>
      <c r="G23" s="165">
        <f>SUM(G5,G8,G11,G14,G17,G20)</f>
        <v>0</v>
      </c>
      <c r="H23" s="166">
        <f>SUM(H21,H20,H18,H17,H15,H14,H12,H11,H9,H8,H6,H5)</f>
        <v>0</v>
      </c>
    </row>
    <row r="24" spans="1:8" s="3" customFormat="1" ht="13" thickBot="1">
      <c r="A24" s="4"/>
      <c r="B24" s="209"/>
      <c r="C24" s="209"/>
      <c r="D24" s="209"/>
      <c r="E24" s="210"/>
      <c r="F24" s="210"/>
      <c r="G24" s="210"/>
      <c r="H24" s="7"/>
    </row>
    <row r="25" spans="1:8" ht="17.25" customHeight="1">
      <c r="A25" s="168">
        <f>IF(A6 = "", Fin, IF(A6&gt;DATE(YEAR(A6),3,20),IF(A6&lt;DATE(YEAR(A6),12,21),7 / 24,6 / 24),6 /24))</f>
        <v>0.29166666666666669</v>
      </c>
      <c r="B25" s="6"/>
      <c r="C25" s="6"/>
      <c r="D25" s="94" t="s">
        <v>10</v>
      </c>
      <c r="E25" s="30"/>
      <c r="F25" s="31" t="s">
        <v>11</v>
      </c>
      <c r="G25" s="31"/>
      <c r="H25" s="139"/>
    </row>
    <row r="26" spans="1:8" ht="17.25" customHeight="1">
      <c r="A26" s="168">
        <f>IF(A9= "", Fin, IF(A9&gt;DATE(YEAR(A9),3,20),IF(A9&lt;DATE(YEAR(A9),12,21),7 / 24,6 / 24),6 /24))</f>
        <v>0.29166666666666669</v>
      </c>
      <c r="B26" s="6"/>
      <c r="C26" s="6"/>
      <c r="D26" s="95" t="s">
        <v>59</v>
      </c>
      <c r="E26" s="17"/>
      <c r="F26" s="83">
        <v>1028.05</v>
      </c>
      <c r="G26" s="18"/>
      <c r="H26" s="140"/>
    </row>
    <row r="27" spans="1:8" ht="17.25" customHeight="1" thickBot="1">
      <c r="A27" s="168">
        <f>IF(A12 = "", Fin, IF(A12&gt;DATE(YEAR(A12),3,20),IF(A12&lt;DATE(YEAR(A12),12,21),7 / 24,6 / 24),6 /24))</f>
        <v>0.29166666666666669</v>
      </c>
      <c r="B27" s="6"/>
      <c r="C27" s="6"/>
      <c r="D27" s="115" t="s">
        <v>12</v>
      </c>
      <c r="E27" s="116"/>
      <c r="F27" s="117">
        <f>+F26/35</f>
        <v>29.372857142857143</v>
      </c>
      <c r="G27" s="117"/>
      <c r="H27" s="141"/>
    </row>
    <row r="28" spans="1:8" s="3" customFormat="1" ht="17.25" customHeight="1">
      <c r="A28" s="169">
        <f>IF(A15 = "", Fin, IF(A15&gt;DATE(YEAR(A15),3,20),IF(A15&lt;DATE(YEAR(A15),12,21),7 / 24,6 / 24),6 /24))</f>
        <v>0.29166666666666669</v>
      </c>
      <c r="B28" s="9"/>
      <c r="C28" s="10"/>
      <c r="D28" s="96" t="s">
        <v>13</v>
      </c>
      <c r="E28" s="19">
        <f>IF(E23&gt;35 / 24,35 / 24,E23)</f>
        <v>0</v>
      </c>
      <c r="F28" s="103">
        <f>(F27*E28)*24</f>
        <v>0</v>
      </c>
      <c r="G28" s="103"/>
      <c r="H28" s="142"/>
    </row>
    <row r="29" spans="1:8" s="3" customFormat="1" ht="17.25" customHeight="1">
      <c r="A29" s="169">
        <f>IF(A18 = "", Fin, IF(A18&gt;DATE(YEAR(A18),3,20),IF(A18&lt;DATE(YEAR(A18),12,21),7 / 24,6 / 24),6 /24))</f>
        <v>0.29166666666666669</v>
      </c>
      <c r="B29" s="9"/>
      <c r="C29" s="32" t="s">
        <v>14</v>
      </c>
      <c r="D29" s="97" t="s">
        <v>15</v>
      </c>
      <c r="E29" s="20">
        <f>IF(E23&gt;35 / 24,IF(E23&lt;43 / 24,E23-35 / 24,8 / 24),0 / 24)</f>
        <v>0</v>
      </c>
      <c r="F29" s="104">
        <f>((F27*E29)*24)*1.25</f>
        <v>0</v>
      </c>
      <c r="G29" s="104"/>
      <c r="H29" s="143"/>
    </row>
    <row r="30" spans="1:8" s="3" customFormat="1" ht="17.25" customHeight="1">
      <c r="A30" s="169">
        <f ca="1">IF(A21 = "", Fin, IF(A21&gt;DATE(YEAR(A21),3,20),IF(A21&lt;DATE(YEAR(A21),12,21),7 / 24,6 / 24),6 /24))</f>
        <v>0.25</v>
      </c>
      <c r="B30" s="9"/>
      <c r="C30" s="33" t="s">
        <v>16</v>
      </c>
      <c r="D30" s="98" t="s">
        <v>17</v>
      </c>
      <c r="E30" s="21">
        <f>IF(E23&gt;47 / 24,4 / 24,IF(E23&gt;43 / 24,E23-43 / 24,0 / 24))</f>
        <v>0</v>
      </c>
      <c r="F30" s="105">
        <f>((F27*E30)*24)*1.5</f>
        <v>0</v>
      </c>
      <c r="G30" s="105"/>
      <c r="H30" s="144"/>
    </row>
    <row r="31" spans="1:8" s="3" customFormat="1" ht="17.25" customHeight="1">
      <c r="A31" s="170"/>
      <c r="B31" s="9"/>
      <c r="C31" s="32" t="s">
        <v>29</v>
      </c>
      <c r="D31" s="97" t="s">
        <v>17</v>
      </c>
      <c r="E31" s="20">
        <f>IF(E23&gt;47 / 24,E23- 47 / 24,0 /24)</f>
        <v>0</v>
      </c>
      <c r="F31" s="104">
        <f>((F27*E31)*24)*1.5</f>
        <v>0</v>
      </c>
      <c r="G31" s="104"/>
      <c r="H31" s="143"/>
    </row>
    <row r="32" spans="1:8" s="3" customFormat="1" ht="17.25" customHeight="1" thickBot="1">
      <c r="A32" s="8"/>
      <c r="B32" s="46"/>
      <c r="C32" s="11"/>
      <c r="D32" s="99" t="s">
        <v>18</v>
      </c>
      <c r="E32" s="22">
        <f>G22</f>
        <v>0</v>
      </c>
      <c r="F32" s="106">
        <f>(F27*E32)*24</f>
        <v>0</v>
      </c>
      <c r="G32" s="106"/>
      <c r="H32" s="145"/>
    </row>
    <row r="33" spans="1:8" s="3" customFormat="1" ht="17.25" customHeight="1">
      <c r="A33" s="8"/>
      <c r="B33" s="84" t="s">
        <v>19</v>
      </c>
      <c r="C33" s="41"/>
      <c r="D33" s="100" t="s">
        <v>20</v>
      </c>
      <c r="E33" s="23">
        <f ca="1">F23</f>
        <v>0</v>
      </c>
      <c r="F33" s="107">
        <f ca="1">((F27*E33)*24)*0.25</f>
        <v>0</v>
      </c>
      <c r="G33" s="107"/>
      <c r="H33" s="146"/>
    </row>
    <row r="34" spans="1:8" s="3" customFormat="1" ht="17.25" customHeight="1">
      <c r="A34" s="8"/>
      <c r="B34" s="85">
        <f ca="1">IF(D2&gt;DATE(YEAR(TODAY()),3,20),IF(D2&lt;DATE(YEAR(TODAY()),12,21),22 / 24,20 / 24),20 /24)</f>
        <v>0.83333333333333337</v>
      </c>
      <c r="C34" s="13"/>
      <c r="D34" s="101" t="s">
        <v>21</v>
      </c>
      <c r="E34" s="24">
        <f>G23</f>
        <v>0</v>
      </c>
      <c r="F34" s="108">
        <f>((F27*E34)*24)*0.5</f>
        <v>0</v>
      </c>
      <c r="G34" s="108"/>
      <c r="H34" s="147"/>
    </row>
    <row r="35" spans="1:8" s="3" customFormat="1" ht="17.25" customHeight="1">
      <c r="A35" s="8"/>
      <c r="B35" s="86" t="s">
        <v>22</v>
      </c>
      <c r="C35" s="12"/>
      <c r="D35" s="100" t="s">
        <v>56</v>
      </c>
      <c r="E35" s="23">
        <f>H23</f>
        <v>0</v>
      </c>
      <c r="F35" s="107">
        <f>(F27*E35)*24</f>
        <v>0</v>
      </c>
      <c r="G35" s="107"/>
      <c r="H35" s="146"/>
    </row>
    <row r="36" spans="1:8" s="3" customFormat="1" ht="17.25" customHeight="1" thickBot="1">
      <c r="A36" s="155"/>
      <c r="B36" s="87">
        <f ca="1">IF(D2&gt;DATE(YEAR(TODAY()),3,20),IF(D2&lt;DATE(YEAR(TODAY()),12,21),7 / 24,6 / 24),6 /24)</f>
        <v>0.25</v>
      </c>
      <c r="C36" s="13"/>
      <c r="D36" s="101" t="s">
        <v>23</v>
      </c>
      <c r="E36" s="24">
        <f>SUM(E21,E18,E15,E12,E9,E6)</f>
        <v>0</v>
      </c>
      <c r="F36" s="108">
        <f>(F27*E36)*24</f>
        <v>0</v>
      </c>
      <c r="G36" s="108"/>
      <c r="H36" s="147"/>
    </row>
    <row r="37" spans="1:8" ht="17.25" customHeight="1">
      <c r="A37" s="36" t="s">
        <v>24</v>
      </c>
      <c r="B37" s="6"/>
      <c r="C37" s="41"/>
      <c r="D37" s="100" t="s">
        <v>25</v>
      </c>
      <c r="E37" s="23">
        <v>0</v>
      </c>
      <c r="F37" s="107">
        <f>(F27*E37)*24</f>
        <v>0</v>
      </c>
      <c r="G37" s="107"/>
      <c r="H37" s="146"/>
    </row>
    <row r="38" spans="1:8" ht="17" thickBot="1">
      <c r="A38" s="161" t="s">
        <v>26</v>
      </c>
      <c r="B38" s="158"/>
      <c r="C38" s="133"/>
      <c r="D38" s="148" t="s">
        <v>33</v>
      </c>
      <c r="E38" s="149">
        <f>IF(B7&lt;&gt;"",E5,IF(B10&lt;&gt;"",E8,IF(B13&lt;&gt;"",E11,IF(B16&lt;&gt;"",E14,IF(B19&lt;&gt;"",E17,IF(B22&lt;&gt;"",E20, 0))))))</f>
        <v>0</v>
      </c>
      <c r="F38" s="167">
        <f>((F27*E38)*24)*0.5</f>
        <v>0</v>
      </c>
      <c r="G38" s="150"/>
      <c r="H38" s="151"/>
    </row>
    <row r="39" spans="1:8" ht="17" thickBot="1">
      <c r="A39" s="159"/>
      <c r="B39" s="160"/>
      <c r="C39" s="207" t="s">
        <v>68</v>
      </c>
      <c r="D39" s="109" t="s">
        <v>27</v>
      </c>
      <c r="E39" s="110">
        <f>IF(AND(E5&lt;&gt;0,E8&lt;&gt;0,E11&lt;&gt;0,E14&lt;&gt;0,E17&lt;&gt;0),IF(E23=0/24,0/24,IF(E23&lt;35/24,35/24,E23)),E23)</f>
        <v>0</v>
      </c>
      <c r="F39" s="111">
        <f>IF(E39=0/24,0,IF(E39&lt;35/24,SUM(F28:F38),IF(E39&gt;35/24,SUM(F28:F38),F26+SUM(F32:F38))))</f>
        <v>0</v>
      </c>
      <c r="G39" s="111"/>
      <c r="H39" s="112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CED4-63F2-5247-B525-92CED3DA593C}">
  <sheetPr codeName="Feuil3">
    <tabColor theme="6"/>
    <pageSetUpPr fitToPage="1"/>
  </sheetPr>
  <dimension ref="A1:H39"/>
  <sheetViews>
    <sheetView zoomScale="75" zoomScaleNormal="75" workbookViewId="0">
      <selection activeCell="D14" sqref="D14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130"/>
      <c r="D1" s="125" t="str">
        <f>'1er Ass'!D1</f>
        <v>Semaine N°</v>
      </c>
      <c r="E1" s="43" t="s">
        <v>1</v>
      </c>
      <c r="F1" s="54" t="str">
        <f>'1er Ass'!F1</f>
        <v>Caméra</v>
      </c>
      <c r="G1" s="128"/>
      <c r="H1" s="37"/>
    </row>
    <row r="2" spans="1:8" ht="20" customHeight="1">
      <c r="A2" s="44" t="s">
        <v>31</v>
      </c>
      <c r="B2" s="56" t="str">
        <f>'1er Ass'!B2</f>
        <v>"Film"</v>
      </c>
      <c r="C2" s="65" t="s">
        <v>53</v>
      </c>
      <c r="D2" s="67">
        <f>'1er Ass'!D2</f>
        <v>43354</v>
      </c>
      <c r="E2" s="65" t="s">
        <v>3</v>
      </c>
      <c r="F2" s="56" t="s">
        <v>50</v>
      </c>
      <c r="G2" s="127"/>
      <c r="H2" s="66"/>
    </row>
    <row r="3" spans="1:8" ht="20" customHeight="1" thickBot="1">
      <c r="A3" s="44"/>
      <c r="B3" s="127"/>
      <c r="C3" s="65" t="s">
        <v>54</v>
      </c>
      <c r="D3" s="69">
        <f>'1er Ass'!D3</f>
        <v>43358</v>
      </c>
      <c r="E3" s="45"/>
      <c r="F3" s="126"/>
      <c r="G3" s="126"/>
      <c r="H3" s="38"/>
    </row>
    <row r="4" spans="1:8" s="3" customFormat="1" ht="46.5" customHeight="1">
      <c r="A4" s="25" t="s">
        <v>4</v>
      </c>
      <c r="B4" s="26" t="s">
        <v>32</v>
      </c>
      <c r="C4" s="26" t="s">
        <v>60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9">
        <f>'1er Ass'!C5</f>
        <v>0</v>
      </c>
      <c r="D5" s="71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70">
        <f>D2</f>
        <v>43354</v>
      </c>
      <c r="B6" s="78" t="str">
        <f>IF(E6=0 / 24, "","(journée continue)")</f>
        <v/>
      </c>
      <c r="C6" s="129">
        <f>'1er Ass'!C6</f>
        <v>0</v>
      </c>
      <c r="D6" s="71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7">
        <f>IF(A6="", Deb, IF(A6&gt;DATE(YEAR(A6),3,20),IF(A6&lt;DATE(YEAR(A6),12,21),22 / 24,20 / 24),20 /24))</f>
        <v>0.91666666666666663</v>
      </c>
      <c r="B7" s="74" t="str">
        <f>IF(A6 &lt;&gt; "", IF(A5="DIMANCHE", "(majoration dimanche)", ""), "")</f>
        <v/>
      </c>
      <c r="C7" s="80">
        <f>IF(C6 = C5, (MOD(D6-D5,1)),0)</f>
        <v>0</v>
      </c>
      <c r="D7" s="72">
        <f>IF(C5=0 / 24,0,IF((MOD(C5-D5,1))&lt;6.05 / 24,0,0.5 / 24))</f>
        <v>0</v>
      </c>
      <c r="E7" s="40">
        <f>IF(C7&gt;(6.05 / 24),0.5 / 24,(IF(C5 = C6, IF(MOD(D6-D5, 1) &lt;6.05/24, 0, 0.5/24), IF((MOD(D6-C6,1))&lt;6.05/24,0,0.5/24))))</f>
        <v>0</v>
      </c>
      <c r="F7" s="16" t="str">
        <f>IF(OR(F6=" ", F6=0)," ","(minoration repas nuit)")</f>
        <v xml:space="preserve"> </v>
      </c>
      <c r="G7" s="76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2" t="str">
        <f>IF(OR(C8&lt;&gt;0, C9 &lt;&gt;0,), IF(MOD(C9-C8, 1) &lt; 0.041, "(pause réduite)", ""), "")</f>
        <v/>
      </c>
      <c r="C8" s="129">
        <f>'1er Ass'!C8</f>
        <v>0</v>
      </c>
      <c r="D8" s="71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70">
        <f>IF(AND(DATE(YEAR(D2),MONTH(D2),DAY(D2))&lt;DATE(YEAR(D3),MONTH(D3),DAY(D3)), A6&lt;&gt;""),DATE(YEAR(D2),MONTH(D2),DAY(D2)+1),"")</f>
        <v>43355</v>
      </c>
      <c r="B9" s="15" t="str">
        <f>IF(E9=0 / 24, "","(journée continue)")</f>
        <v/>
      </c>
      <c r="C9" s="129">
        <f>'1er Ass'!C9</f>
        <v>0</v>
      </c>
      <c r="D9" s="71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7">
        <f>IF(A9="", Deb, IF(A9&gt;DATE(YEAR(A9),3,20),IF(A9&lt;DATE(YEAR(A9),12,21),22 / 24,20 / 24),20 /24))</f>
        <v>0.91666666666666663</v>
      </c>
      <c r="B10" s="74" t="str">
        <f>IF(A9 &lt;&gt; "", IF(A8="DIMANCHE", "(majoration dimanche)", ""), "")</f>
        <v/>
      </c>
      <c r="C10" s="80">
        <f>IF(C9 = C8, (MOD(D9-D8,1)),0)</f>
        <v>0</v>
      </c>
      <c r="D10" s="72">
        <f>IF(C8=0 / 24,0,IF((MOD(C8-D8,1))&lt;6.05 / 24,0,0.5 / 24))</f>
        <v>0</v>
      </c>
      <c r="E10" s="80">
        <f>IF(C10&gt;(6.05 / 24),0.5 / 24,(IF(C8 = C9, IF(MOD(D9-D8, 1) &lt;6.05/24, 0, 0.5/24), IF((MOD(D9-C9,1))&lt;6.05/24,0,0.5/24))))</f>
        <v>0</v>
      </c>
      <c r="F10" s="16" t="str">
        <f>IF(F9=" "," ","(minoration repas nuit)")</f>
        <v xml:space="preserve"> </v>
      </c>
      <c r="G10" s="80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2" t="str">
        <f>IF(OR(C11&lt;&gt;0, C12 &lt;&gt;0,), IF(MOD(C12-C11, 1) &lt; 0.041, "(pause réduite)", ""), "")</f>
        <v/>
      </c>
      <c r="C11" s="129">
        <f>'1er Ass'!C11</f>
        <v>0</v>
      </c>
      <c r="D11" s="71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70">
        <f>IF(AND(DATE(YEAR(A9),MONTH(A9),DAY(A9))&lt;DATE(YEAR(D3),MONTH(D3),DAY(D3)), A9&lt;&gt;""),DATE(YEAR(D2),MONTH(D2),DAY(D2)+2), "")</f>
        <v>43356</v>
      </c>
      <c r="B12" s="15" t="str">
        <f>IF(E12=0 / 24, "","(journée continue)")</f>
        <v/>
      </c>
      <c r="C12" s="129">
        <f>'1er Ass'!C12</f>
        <v>0</v>
      </c>
      <c r="D12" s="73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2"/>
    </row>
    <row r="13" spans="1:8" ht="17.25" customHeight="1">
      <c r="A13" s="77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80">
        <f>IF(C12 = C11, (MOD(D12-D11,1)),0)</f>
        <v>0</v>
      </c>
      <c r="D13" s="72">
        <f>IF(C11=0 / 24,0,IF((MOD(C11-D11,1))&lt;6.05 / 24,0,0.5 / 24))</f>
        <v>0</v>
      </c>
      <c r="E13" s="40">
        <f>IF(C13&gt;(6.05 / 24),0.5 / 24,(IF(C11 = C12, IF(MOD(D12-D11, 1) &lt;6.05/24, 0, 0.5/24), IF((MOD(D12-C12,1))&lt;6.05/24,0,0.5/24))))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2" t="str">
        <f>IF(OR(C14&lt;&gt;0, C15 &lt;&gt;0,), IF(MOD(C15-C14, 1) &lt; 0.041, "(pause réduite)", ""), "")</f>
        <v/>
      </c>
      <c r="C14" s="129">
        <f>'1er Ass'!C14</f>
        <v>0</v>
      </c>
      <c r="D14" s="71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70">
        <f>IF(A12&lt;&gt; "", (IF(DATE(YEAR(A12),MONTH(A12),DAY(A12))&lt;DATE(YEAR(D3),MONTH(D3),DAY(D3)),DATE(YEAR(D2),MONTH(D2),(DAY(D2)+3)), "")), "")</f>
        <v>43357</v>
      </c>
      <c r="B15" s="15" t="str">
        <f>IF(E15=0 / 24, "","(journée continue)")</f>
        <v/>
      </c>
      <c r="C15" s="129">
        <f>'1er Ass'!C15</f>
        <v>0</v>
      </c>
      <c r="D15" s="71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7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80">
        <f>IF(C14 = C15, (MOD(D15-D14,1)),0)</f>
        <v>0</v>
      </c>
      <c r="D16" s="72">
        <f>IF(C14=0 / 24,0,IF((MOD(C14-D14,1))&lt;6.05 / 24,0,0.5 / 24))</f>
        <v>0</v>
      </c>
      <c r="E16" s="40">
        <f>IF(C16&gt;(6.05 / 24),0.5 / 24,(IF(C15 = C14, IF(MOD(D15-D14, 1) &lt;6.05/24, 0, 0.5/24), IF((MOD(D15-C15,1))&lt;6.05/24,0,0.5/24))))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2" t="str">
        <f>IF(OR(C17&lt;&gt;0, C18 &lt;&gt;0,), IF(MOD(C18-C17, 1) &lt; 0.041, "(pause réduite)", ""), "")</f>
        <v/>
      </c>
      <c r="C17" s="129">
        <f>'1er Ass'!C17</f>
        <v>0</v>
      </c>
      <c r="D17" s="71">
        <f>'1er Ass'!D17</f>
        <v>0</v>
      </c>
      <c r="E17" s="47">
        <f>IF(D17=" ",0/24,((MOD(D18-D17,1))-MOD(C18-C17,1)))</f>
        <v>0</v>
      </c>
      <c r="F17" s="47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70">
        <f>IF(A15&lt;&gt; "", (IF(DATE(YEAR(A15),MONTH(A15),DAY(A15))&lt;DATE(YEAR(D3),MONTH(D3),DAY(D3)),DATE(YEAR(D2),MONTH(D2),(DAY(D2)+4)), "")), "")</f>
        <v>43358</v>
      </c>
      <c r="B18" s="15" t="str">
        <f>IF(E18=0 / 24, "","(journée continue)")</f>
        <v/>
      </c>
      <c r="C18" s="129">
        <f>'1er Ass'!C18</f>
        <v>0</v>
      </c>
      <c r="D18" s="71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7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80">
        <f>IF(C17 = C18, (MOD(D18-D17,1)),0)</f>
        <v>0</v>
      </c>
      <c r="D19" s="72">
        <f>IF(C17=0 / 24,0,IF((MOD(C17-D17,1))&lt;6.05 / 24,0,0.5 / 24))</f>
        <v>0</v>
      </c>
      <c r="E19" s="40">
        <f>IF(C19&gt;(6.05 / 24),0.5 / 24,(IF(C17 = C18, IF(MOD(D18-D17, 1) &lt;6.05/24, 0, 0.5/24), IF((MOD(D18-C18,1))&lt;6.05/24,0,0.5/24))))</f>
        <v>0</v>
      </c>
      <c r="F19" s="16" t="str">
        <f>IF(F18=" "," ","(minoration repas nuit)")</f>
        <v xml:space="preserve"> </v>
      </c>
      <c r="G19" s="79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2" t="str">
        <f>IF(OR(C21&lt;&gt;0, C22 &lt;&gt;0,), IF(MOD(C21-C20, 1) &lt; 0.041, "(pause réduite)", ""), "")</f>
        <v/>
      </c>
      <c r="C20" s="129">
        <f>'1er Ass'!C20</f>
        <v>0</v>
      </c>
      <c r="D20" s="71">
        <f>'1er Ass'!D20</f>
        <v>0</v>
      </c>
      <c r="E20" s="47">
        <f>IF(D20= " ",0/24,((MOD(D21-D20,1))-MOD(C21-C20,1)))</f>
        <v>0</v>
      </c>
      <c r="F20" s="47">
        <f ca="1"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70" t="str">
        <f>IF(A18&lt;&gt; "", (IF(DATE(YEAR(A18),MONTH(A18),DAY(A18))&lt;DATE(YEAR(D3),MONTH(D3),DAY(D3)),DATE(YEAR(D2),MONTH(D2),(DAY(D2)+5)), "")), "")</f>
        <v/>
      </c>
      <c r="B21" s="15" t="str">
        <f>IF(E21=0 / 24, "","(journée continue)")</f>
        <v/>
      </c>
      <c r="C21" s="129">
        <f>'1er Ass'!C21</f>
        <v>0</v>
      </c>
      <c r="D21" s="71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1"/>
    </row>
    <row r="22" spans="1:8" ht="17.25" customHeight="1">
      <c r="A22" s="77">
        <f ca="1"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80">
        <f>IF(C20 = C21, (MOD(D21-D20,1)),0)</f>
        <v>0</v>
      </c>
      <c r="D22" s="72">
        <f>IF(C20=0 / 24,0,IF((MOD(C20-D20,1))&lt;6.05 / 24,0,0.5 / 24))</f>
        <v>0</v>
      </c>
      <c r="E22" s="40">
        <f>IF(C22&gt;(6.05 / 24),0.5 / 24,(IF(C21 = C20, IF(MOD(D21-D20, 1) &lt;6.05/24, 0, 0.5/24), IF((MOD(D21-C21,1))&lt;6.05/24,0,0.5/24))))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5"/>
      <c r="C23" s="162"/>
      <c r="D23" s="163" t="s">
        <v>9</v>
      </c>
      <c r="E23" s="164">
        <f>SUM(E5,E8,E11,E14,E17,E20)</f>
        <v>0</v>
      </c>
      <c r="F23" s="164">
        <f ca="1">SUM(F5,F6,F8,F9,F11,F12,F14,F15,F17,F18,F20,F21)</f>
        <v>0</v>
      </c>
      <c r="G23" s="165">
        <f>SUM(G5,G8,G11,G14,G17,G20)</f>
        <v>0</v>
      </c>
      <c r="H23" s="166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8">
        <f>IF(A6 = "", Fin, IF(A6&gt;DATE(YEAR(A6),3,20),IF(A6&lt;DATE(YEAR(A6),12,21),7 / 24,6 / 24),6 /24))</f>
        <v>0.29166666666666669</v>
      </c>
      <c r="B25" s="6"/>
      <c r="C25" s="6"/>
      <c r="D25" s="94" t="s">
        <v>10</v>
      </c>
      <c r="E25" s="30"/>
      <c r="F25" s="31" t="s">
        <v>28</v>
      </c>
      <c r="G25" s="31"/>
      <c r="H25" s="113"/>
    </row>
    <row r="26" spans="1:8" ht="17.25" customHeight="1">
      <c r="A26" s="168">
        <f>IF(A9= "", Fin, IF(A9&gt;DATE(YEAR(A9),3,20),IF(A9&lt;DATE(YEAR(A9),12,21),7 / 24,6 / 24),6 /24))</f>
        <v>0.29166666666666669</v>
      </c>
      <c r="B26" s="6"/>
      <c r="C26" s="6"/>
      <c r="D26" s="95" t="s">
        <v>59</v>
      </c>
      <c r="E26" s="17"/>
      <c r="F26" s="83">
        <v>810.1</v>
      </c>
      <c r="G26" s="18"/>
      <c r="H26" s="114"/>
    </row>
    <row r="27" spans="1:8" ht="17.25" customHeight="1" thickBot="1">
      <c r="A27" s="168">
        <f>IF(A12 = "", Fin, IF(A12&gt;DATE(YEAR(A12),3,20),IF(A12&lt;DATE(YEAR(A12),12,21),7 / 24,6 / 24),6 /24))</f>
        <v>0.29166666666666669</v>
      </c>
      <c r="B27" s="6"/>
      <c r="C27" s="6"/>
      <c r="D27" s="115" t="s">
        <v>12</v>
      </c>
      <c r="E27" s="116"/>
      <c r="F27" s="117">
        <f>+F26/35</f>
        <v>23.145714285714288</v>
      </c>
      <c r="G27" s="117"/>
      <c r="H27" s="118"/>
    </row>
    <row r="28" spans="1:8" s="3" customFormat="1" ht="17.25" customHeight="1">
      <c r="A28" s="169">
        <f>IF(A15 = "", Fin, IF(A15&gt;DATE(YEAR(A15),3,20),IF(A15&lt;DATE(YEAR(A15),12,21),7 / 24,6 / 24),6 /24))</f>
        <v>0.29166666666666669</v>
      </c>
      <c r="B28" s="9"/>
      <c r="C28" s="10"/>
      <c r="D28" s="96" t="s">
        <v>13</v>
      </c>
      <c r="E28" s="19">
        <f>IF(E23&gt;35 / 24,35 / 24,E23)</f>
        <v>0</v>
      </c>
      <c r="F28" s="103">
        <f>(F27*E28)*24</f>
        <v>0</v>
      </c>
      <c r="G28" s="103"/>
      <c r="H28" s="88"/>
    </row>
    <row r="29" spans="1:8" s="3" customFormat="1" ht="17.25" customHeight="1">
      <c r="A29" s="169">
        <f>IF(A18 = "", Fin, IF(A18&gt;DATE(YEAR(A18),3,20),IF(A18&lt;DATE(YEAR(A18),12,21),7 / 24,6 / 24),6 /24))</f>
        <v>0.29166666666666669</v>
      </c>
      <c r="B29" s="9"/>
      <c r="C29" s="32" t="s">
        <v>14</v>
      </c>
      <c r="D29" s="97" t="s">
        <v>15</v>
      </c>
      <c r="E29" s="20">
        <f>IF(E23&gt;35 / 24,IF(E23&lt;43 / 24,E23-35 / 24,8 / 24),0 / 24)</f>
        <v>0</v>
      </c>
      <c r="F29" s="104">
        <f>((F27*E29)*24)*1.25</f>
        <v>0</v>
      </c>
      <c r="G29" s="104"/>
      <c r="H29" s="89"/>
    </row>
    <row r="30" spans="1:8" s="3" customFormat="1" ht="17.25" customHeight="1">
      <c r="A30" s="169">
        <f ca="1">IF(A21 = "", Fin, IF(A21&gt;DATE(YEAR(A21),3,20),IF(A21&lt;DATE(YEAR(A21),12,21),7 / 24,6 / 24),6 /24))</f>
        <v>0.25</v>
      </c>
      <c r="B30" s="9"/>
      <c r="C30" s="33" t="s">
        <v>16</v>
      </c>
      <c r="D30" s="98" t="s">
        <v>17</v>
      </c>
      <c r="E30" s="21">
        <f>IF(E23&gt;47 / 24,4 / 24,IF(E23&gt;43 / 24,E23-43 / 24,0 / 24))</f>
        <v>0</v>
      </c>
      <c r="F30" s="105">
        <f>((F27*E30)*24)*1.5</f>
        <v>0</v>
      </c>
      <c r="G30" s="105"/>
      <c r="H30" s="90"/>
    </row>
    <row r="31" spans="1:8" s="3" customFormat="1" ht="17.25" customHeight="1">
      <c r="A31" s="171"/>
      <c r="B31" s="9"/>
      <c r="C31" s="32" t="s">
        <v>29</v>
      </c>
      <c r="D31" s="97" t="s">
        <v>17</v>
      </c>
      <c r="E31" s="20">
        <f>IF(E23&gt;47 / 24,E23- 47 / 24,0 /24)</f>
        <v>0</v>
      </c>
      <c r="F31" s="104">
        <f>((F27*E31)*24)*1.5</f>
        <v>0</v>
      </c>
      <c r="G31" s="104"/>
      <c r="H31" s="89"/>
    </row>
    <row r="32" spans="1:8" s="3" customFormat="1" ht="17.25" customHeight="1" thickBot="1">
      <c r="A32" s="171"/>
      <c r="B32" s="46"/>
      <c r="C32" s="11"/>
      <c r="D32" s="99" t="s">
        <v>18</v>
      </c>
      <c r="E32" s="22">
        <f>G22</f>
        <v>0</v>
      </c>
      <c r="F32" s="106">
        <f>(F27*E32)*24</f>
        <v>0</v>
      </c>
      <c r="G32" s="106"/>
      <c r="H32" s="93"/>
    </row>
    <row r="33" spans="1:8" s="3" customFormat="1" ht="17.25" customHeight="1">
      <c r="A33" s="8"/>
      <c r="B33" s="84" t="s">
        <v>19</v>
      </c>
      <c r="C33" s="41"/>
      <c r="D33" s="100" t="s">
        <v>20</v>
      </c>
      <c r="E33" s="23">
        <f ca="1">F23</f>
        <v>0</v>
      </c>
      <c r="F33" s="107">
        <f ca="1">((F27*E33)*24)*0.25</f>
        <v>0</v>
      </c>
      <c r="G33" s="107"/>
      <c r="H33" s="92"/>
    </row>
    <row r="34" spans="1:8" s="3" customFormat="1" ht="17.25" customHeight="1">
      <c r="A34" s="8"/>
      <c r="B34" s="85">
        <f ca="1">IF(D2&gt;DATE(YEAR(TODAY()),3,20),IF(D2&lt;DATE(YEAR(TODAY()),12,21),22 / 24,20 / 24),20 /24)</f>
        <v>0.83333333333333337</v>
      </c>
      <c r="C34" s="13"/>
      <c r="D34" s="101" t="s">
        <v>21</v>
      </c>
      <c r="E34" s="24">
        <f>G23</f>
        <v>0</v>
      </c>
      <c r="F34" s="108">
        <f>((F27*E34)*24)*0.5</f>
        <v>0</v>
      </c>
      <c r="G34" s="108"/>
      <c r="H34" s="91"/>
    </row>
    <row r="35" spans="1:8" s="3" customFormat="1" ht="17.25" customHeight="1">
      <c r="A35" s="8"/>
      <c r="B35" s="86" t="s">
        <v>22</v>
      </c>
      <c r="C35" s="12"/>
      <c r="D35" s="100" t="s">
        <v>56</v>
      </c>
      <c r="E35" s="23">
        <f>H23</f>
        <v>0</v>
      </c>
      <c r="F35" s="107">
        <f>(F27*E35)*24</f>
        <v>0</v>
      </c>
      <c r="G35" s="107"/>
      <c r="H35" s="92"/>
    </row>
    <row r="36" spans="1:8" s="3" customFormat="1" ht="17.25" customHeight="1" thickBot="1">
      <c r="A36" s="36"/>
      <c r="B36" s="87">
        <f ca="1">IF(D2&gt;DATE(YEAR(TODAY()),3,20),IF(D2&lt;DATE(YEAR(TODAY()),12,21),7 / 24,6 / 24),6 /24)</f>
        <v>0.25</v>
      </c>
      <c r="C36" s="13"/>
      <c r="D36" s="101" t="s">
        <v>23</v>
      </c>
      <c r="E36" s="24">
        <f>SUM(E21,E18,E15,E12,E9,E6)</f>
        <v>0</v>
      </c>
      <c r="F36" s="108">
        <f>(F27*E36)*24</f>
        <v>0</v>
      </c>
      <c r="G36" s="108"/>
      <c r="H36" s="91"/>
    </row>
    <row r="37" spans="1:8" ht="17.25" customHeight="1">
      <c r="A37" s="36" t="s">
        <v>24</v>
      </c>
      <c r="B37" s="6"/>
      <c r="C37" s="41"/>
      <c r="D37" s="100" t="s">
        <v>25</v>
      </c>
      <c r="E37" s="23">
        <v>0</v>
      </c>
      <c r="F37" s="107">
        <f>(F27*E37)*24</f>
        <v>0</v>
      </c>
      <c r="G37" s="107"/>
      <c r="H37" s="92"/>
    </row>
    <row r="38" spans="1:8" ht="17" thickBot="1">
      <c r="A38" s="161" t="s">
        <v>26</v>
      </c>
      <c r="B38" s="158"/>
      <c r="C38" s="133"/>
      <c r="D38" s="134" t="s">
        <v>33</v>
      </c>
      <c r="E38" s="135">
        <f>IF(B7&lt;&gt;"",E5,IF(B10&lt;&gt;"",E8,IF(B13&lt;&gt;"",E11,IF(B16&lt;&gt;"",E14,IF(B19&lt;&gt;"",E17,IF(B22&lt;&gt;"",E20, 0))))))</f>
        <v>0</v>
      </c>
      <c r="F38" s="136">
        <f>((F27*E38)*24)*0.5</f>
        <v>0</v>
      </c>
      <c r="G38" s="137"/>
      <c r="H38" s="138"/>
    </row>
    <row r="39" spans="1:8" ht="17" thickBot="1">
      <c r="A39" s="159"/>
      <c r="B39" s="160"/>
      <c r="C39" s="207" t="s">
        <v>68</v>
      </c>
      <c r="D39" s="152" t="s">
        <v>27</v>
      </c>
      <c r="E39" s="110">
        <f>IF(AND(E5&lt;&gt;0,E8&lt;&gt;0,E11&lt;&gt;0,E14&lt;&gt;0,E17&lt;&gt;0),IF(E23=0/24,0/24,IF(E23&lt;35/24,35/24,E23)),E23)</f>
        <v>0</v>
      </c>
      <c r="F39" s="111">
        <f>IF(E39=0/24,0,IF(E39&lt;35/24,SUM(F28:F38),IF(E39&gt;35/24,SUM(F28:F38),F26+SUM(F32:F38))))</f>
        <v>0</v>
      </c>
      <c r="G39" s="153"/>
      <c r="H39" s="154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39"/>
  <sheetViews>
    <sheetView zoomScale="75" zoomScaleNormal="75" workbookViewId="0">
      <selection activeCell="H18" sqref="H18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55"/>
      <c r="D1" s="125" t="str">
        <f>'1er Ass'!D1</f>
        <v>Semaine N°</v>
      </c>
      <c r="E1" s="43" t="s">
        <v>1</v>
      </c>
      <c r="F1" s="54" t="str">
        <f>'1er Ass'!F1</f>
        <v>Caméra</v>
      </c>
      <c r="G1" s="128"/>
      <c r="H1" s="37"/>
    </row>
    <row r="2" spans="1:8" ht="20" customHeight="1">
      <c r="A2" s="44" t="s">
        <v>31</v>
      </c>
      <c r="B2" s="56" t="str">
        <f>'1er Ass'!B2</f>
        <v>"Film"</v>
      </c>
      <c r="C2" s="65" t="s">
        <v>53</v>
      </c>
      <c r="D2" s="67">
        <f>'1er Ass'!D2</f>
        <v>43354</v>
      </c>
      <c r="E2" s="65" t="s">
        <v>3</v>
      </c>
      <c r="F2" s="56" t="s">
        <v>50</v>
      </c>
      <c r="G2" s="127"/>
      <c r="H2" s="66"/>
    </row>
    <row r="3" spans="1:8" ht="20" customHeight="1" thickBot="1">
      <c r="A3" s="44"/>
      <c r="B3" s="56"/>
      <c r="C3" s="65" t="s">
        <v>54</v>
      </c>
      <c r="D3" s="69">
        <f>'1er Ass'!D3</f>
        <v>43358</v>
      </c>
      <c r="E3" s="45"/>
      <c r="F3" s="126"/>
      <c r="G3" s="126"/>
      <c r="H3" s="38"/>
    </row>
    <row r="4" spans="1:8" s="3" customFormat="1" ht="46.5" customHeight="1">
      <c r="A4" s="25" t="s">
        <v>4</v>
      </c>
      <c r="B4" s="26" t="s">
        <v>32</v>
      </c>
      <c r="C4" s="26" t="s">
        <v>62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9">
        <f>'1er Ass'!C5</f>
        <v>0</v>
      </c>
      <c r="D5" s="71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70">
        <f>D2</f>
        <v>43354</v>
      </c>
      <c r="B6" s="78" t="str">
        <f>IF(E6=0 / 24, "","(journée continue)")</f>
        <v/>
      </c>
      <c r="C6" s="129">
        <f>'1er Ass'!C6</f>
        <v>0</v>
      </c>
      <c r="D6" s="71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7">
        <f>IF(A6="", Deb, IF(A6&gt;DATE(YEAR(A6),3,20),IF(A6&lt;DATE(YEAR(A6),12,21),22 / 24,20 / 24),20 /24))</f>
        <v>0.91666666666666663</v>
      </c>
      <c r="B7" s="74" t="str">
        <f>IF(A6 &lt;&gt; "", IF(A5="DIMANCHE", "(majoration dimanche)", ""), "")</f>
        <v/>
      </c>
      <c r="C7" s="80">
        <f>IF(C6 = C5, (MOD(D6-D5,1)),0)</f>
        <v>0</v>
      </c>
      <c r="D7" s="72">
        <f>IF(C5=0 / 24,0,IF((MOD(C5-D5,1))&lt;6.05 / 24,0,0.5 / 24))</f>
        <v>0</v>
      </c>
      <c r="E7" s="40">
        <f>IF(C7&gt;(6.05 / 24),0.5 / 24,(IF(C5 = C6, IF(MOD(D6-D5, 1) &lt;6.05/24, 0, 0.5/24), IF((MOD(D6-C6,1))&lt;6.05/24,0,0.5/24))))</f>
        <v>0</v>
      </c>
      <c r="F7" s="16" t="str">
        <f>IF(OR(F6=" ", F6=0)," ","(minoration repas nuit)")</f>
        <v xml:space="preserve"> </v>
      </c>
      <c r="G7" s="76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2" t="str">
        <f>IF(OR(C8&lt;&gt;0, C9 &lt;&gt;0,), IF(MOD(C9-C8, 1) &lt; 0.041, "(pause réduite)", ""), "")</f>
        <v/>
      </c>
      <c r="C8" s="129">
        <f>'1er Ass'!C8</f>
        <v>0</v>
      </c>
      <c r="D8" s="71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70">
        <f>IF(AND(DATE(YEAR(D2),MONTH(D2),DAY(D2))&lt;DATE(YEAR(D3),MONTH(D3),DAY(D3)), A6&lt;&gt;""),DATE(YEAR(D2),MONTH(D2),DAY(D2)+1),"")</f>
        <v>43355</v>
      </c>
      <c r="B9" s="15" t="str">
        <f>IF(E9=0 / 24, "","(journée continue)")</f>
        <v/>
      </c>
      <c r="C9" s="129">
        <f>'1er Ass'!C9</f>
        <v>0</v>
      </c>
      <c r="D9" s="71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7">
        <f>IF(A9="", Deb, IF(A9&gt;DATE(YEAR(A9),3,20),IF(A9&lt;DATE(YEAR(A9),12,21),22 / 24,20 / 24),20 /24))</f>
        <v>0.91666666666666663</v>
      </c>
      <c r="B10" s="74" t="str">
        <f>IF(A9 &lt;&gt; "", IF(A8="DIMANCHE", "(majoration dimanche)", ""), "")</f>
        <v/>
      </c>
      <c r="C10" s="80">
        <f>IF(C9 = C8, (MOD(D9-D8,1)),0)</f>
        <v>0</v>
      </c>
      <c r="D10" s="72">
        <f>IF(C8=0 / 24,0,IF((MOD(C8-D8,1))&lt;6.05 / 24,0,0.5 / 24))</f>
        <v>0</v>
      </c>
      <c r="E10" s="80">
        <f>IF(C10&gt;(6.05 / 24),0.5 / 24,(IF(C8 = C9, IF(MOD(D9-D8, 1) &lt;6.05/24, 0, 0.5/24), IF((MOD(D9-C9,1))&lt;6.05/24,0,0.5/24))))</f>
        <v>0</v>
      </c>
      <c r="F10" s="16" t="str">
        <f>IF(F9=" "," ","(minoration repas nuit)")</f>
        <v xml:space="preserve"> </v>
      </c>
      <c r="G10" s="80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2" t="str">
        <f>IF(OR(C11&lt;&gt;0, C12 &lt;&gt;0,), IF(MOD(C12-C11, 1) &lt; 0.041, "(pause réduite)", ""), "")</f>
        <v/>
      </c>
      <c r="C11" s="129">
        <f>'1er Ass'!C11</f>
        <v>0</v>
      </c>
      <c r="D11" s="71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70">
        <f>IF(AND(DATE(YEAR(A9),MONTH(A9),DAY(A9))&lt;DATE(YEAR(D3),MONTH(D3),DAY(D3)), A9&lt;&gt;""),DATE(YEAR(D2),MONTH(D2),DAY(D2)+2), "")</f>
        <v>43356</v>
      </c>
      <c r="B12" s="15" t="str">
        <f>IF(E12=0 / 24, "","(journée continue)")</f>
        <v/>
      </c>
      <c r="C12" s="129">
        <f>'1er Ass'!C12</f>
        <v>0</v>
      </c>
      <c r="D12" s="73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2"/>
    </row>
    <row r="13" spans="1:8" ht="17.25" customHeight="1">
      <c r="A13" s="77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80">
        <f>IF(C12 = C11, (MOD(D12-D11,1)),0)</f>
        <v>0</v>
      </c>
      <c r="D13" s="72">
        <f>IF(C11=0 / 24,0,IF((MOD(C11-D11,1))&lt;6.05 / 24,0,0.5 / 24))</f>
        <v>0</v>
      </c>
      <c r="E13" s="40">
        <f>IF(C13&gt;(6.05 / 24),0.5 / 24,(IF(C11 = C12, IF(MOD(D12-D11, 1) &lt;6.05/24, 0, 0.5/24), IF((MOD(D12-C12,1))&lt;6.05/24,0,0.5/24))))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2" t="str">
        <f>IF(OR(C14&lt;&gt;0, C15 &lt;&gt;0,), IF(MOD(C15-C14, 1) &lt; 0.041, "(pause réduite)", ""), "")</f>
        <v/>
      </c>
      <c r="C14" s="129">
        <f>'1er Ass'!C14</f>
        <v>0</v>
      </c>
      <c r="D14" s="71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70">
        <f>IF(A12&lt;&gt; "", (IF(DATE(YEAR(A12),MONTH(A12),DAY(A12))&lt;DATE(YEAR(D3),MONTH(D3),DAY(D3)),DATE(YEAR(D2),MONTH(D2),(DAY(D2)+3)), "")), "")</f>
        <v>43357</v>
      </c>
      <c r="B15" s="15" t="str">
        <f>IF(E15=0 / 24, "","(journée continue)")</f>
        <v/>
      </c>
      <c r="C15" s="129">
        <f>'1er Ass'!C15</f>
        <v>0</v>
      </c>
      <c r="D15" s="71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7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80">
        <f>IF(C14 = C15, (MOD(D15-D14,1)),0)</f>
        <v>0</v>
      </c>
      <c r="D16" s="72">
        <f>IF(C14=0 / 24,0,IF((MOD(C14-D14,1))&lt;6.05 / 24,0,0.5 / 24))</f>
        <v>0</v>
      </c>
      <c r="E16" s="40">
        <f>IF(C16&gt;(6.05 / 24),0.5 / 24,(IF(C15 = C14, IF(MOD(D15-D14, 1) &lt;6.05/24, 0, 0.5/24), IF((MOD(D15-C15,1))&lt;6.05/24,0,0.5/24))))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2" t="str">
        <f>IF(OR(C17&lt;&gt;0, C18 &lt;&gt;0,), IF(MOD(C18-C17, 1) &lt; 0.041, "(pause réduite)", ""), "")</f>
        <v/>
      </c>
      <c r="C17" s="129">
        <f>'1er Ass'!C17</f>
        <v>0</v>
      </c>
      <c r="D17" s="71">
        <f>'1er Ass'!D17</f>
        <v>0</v>
      </c>
      <c r="E17" s="47">
        <f>IF(D17=" ",0/24,((MOD(D18-D17,1))-MOD(C18-C17,1)))</f>
        <v>0</v>
      </c>
      <c r="F17" s="47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70">
        <f>IF(A15&lt;&gt; "", (IF(DATE(YEAR(A15),MONTH(A15),DAY(A15))&lt;DATE(YEAR(D3),MONTH(D3),DAY(D3)),DATE(YEAR(D2),MONTH(D2),(DAY(D2)+4)), "")), "")</f>
        <v>43358</v>
      </c>
      <c r="B18" s="15" t="str">
        <f>IF(E18=0 / 24, "","(journée continue)")</f>
        <v/>
      </c>
      <c r="C18" s="129">
        <f>'1er Ass'!C18</f>
        <v>0</v>
      </c>
      <c r="D18" s="71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7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80">
        <f>IF(C17 = C18, (MOD(D18-D17,1)),0)</f>
        <v>0</v>
      </c>
      <c r="D19" s="72">
        <f>IF(C17=0 / 24,0,IF((MOD(C17-D17,1))&lt;6.05 / 24,0,0.5 / 24))</f>
        <v>0</v>
      </c>
      <c r="E19" s="40">
        <f>IF(C19&gt;(6.05 / 24),0.5 / 24,(IF(C17 = C18, IF(MOD(D18-D17, 1) &lt;6.05/24, 0, 0.5/24), IF((MOD(D18-C18,1))&lt;6.05/24,0,0.5/24))))</f>
        <v>0</v>
      </c>
      <c r="F19" s="16" t="str">
        <f>IF(F18=" "," ","(minoration repas nuit)")</f>
        <v xml:space="preserve"> </v>
      </c>
      <c r="G19" s="79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2" t="str">
        <f>IF(OR(C21&lt;&gt;0, C22 &lt;&gt;0,), IF(MOD(C21-C20, 1) &lt; 0.041, "(pause réduite)", ""), "")</f>
        <v/>
      </c>
      <c r="C20" s="129">
        <f>'1er Ass'!C20</f>
        <v>0</v>
      </c>
      <c r="D20" s="71">
        <f>'1er Ass'!D20</f>
        <v>0</v>
      </c>
      <c r="E20" s="47">
        <f>IF(D20= " ",0/24,((MOD(D21-D20,1))-MOD(C21-C20,1)))</f>
        <v>0</v>
      </c>
      <c r="F20" s="47">
        <f ca="1"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70" t="str">
        <f>IF(A18&lt;&gt; "", (IF(DATE(YEAR(A18),MONTH(A18),DAY(A18))&lt;DATE(YEAR(D3),MONTH(D3),DAY(D3)),DATE(YEAR(D2),MONTH(D2),(DAY(D2)+5)), "")), "")</f>
        <v/>
      </c>
      <c r="B21" s="15" t="str">
        <f>IF(E21=0 / 24, "","(journée continue)")</f>
        <v/>
      </c>
      <c r="C21" s="129">
        <f>'1er Ass'!C21</f>
        <v>0</v>
      </c>
      <c r="D21" s="71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1"/>
    </row>
    <row r="22" spans="1:8" ht="17.25" customHeight="1">
      <c r="A22" s="77">
        <f ca="1"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80">
        <f>IF(C20 = C21, (MOD(D21-D20,1)),0)</f>
        <v>0</v>
      </c>
      <c r="D22" s="72">
        <f>IF(C20=0 / 24,0,IF((MOD(C20-D20,1))&lt;6.05 / 24,0,0.5 / 24))</f>
        <v>0</v>
      </c>
      <c r="E22" s="40">
        <f>IF(C22&gt;(6.05 / 24),0.5 / 24,(IF(C21 = C20, IF(MOD(D21-D20, 1) &lt;6.05/24, 0, 0.5/24), IF((MOD(D21-C21,1))&lt;6.05/24,0,0.5/24))))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5"/>
      <c r="C23" s="162"/>
      <c r="D23" s="163" t="s">
        <v>9</v>
      </c>
      <c r="E23" s="164">
        <f>SUM(E5,E8,E11,E14,E17,E20)</f>
        <v>0</v>
      </c>
      <c r="F23" s="164">
        <f ca="1">SUM(F5,F6,F8,F9,F11,F12,F14,F15,F17,F18,F20,F21)</f>
        <v>0</v>
      </c>
      <c r="G23" s="165">
        <f>SUM(G5,G8,G11,G14,G17,G20)</f>
        <v>0</v>
      </c>
      <c r="H23" s="166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8">
        <f>IF(A6 = "", Fin, IF(A6&gt;DATE(YEAR(A6),3,20),IF(A6&lt;DATE(YEAR(A6),12,21),7 / 24,6 / 24),6 /24))</f>
        <v>0.29166666666666669</v>
      </c>
      <c r="B25" s="6"/>
      <c r="C25" s="6"/>
      <c r="D25" s="94" t="s">
        <v>10</v>
      </c>
      <c r="E25" s="30"/>
      <c r="F25" s="31" t="s">
        <v>34</v>
      </c>
      <c r="G25" s="31"/>
      <c r="H25" s="113"/>
    </row>
    <row r="26" spans="1:8" ht="17.25" customHeight="1">
      <c r="A26" s="168">
        <f>IF(A9= "", Fin, IF(A9&gt;DATE(YEAR(A9),3,20),IF(A9&lt;DATE(YEAR(A9),12,21),7 / 24,6 / 24),6 /24))</f>
        <v>0.29166666666666669</v>
      </c>
      <c r="B26" s="6"/>
      <c r="C26" s="6"/>
      <c r="D26" s="95" t="s">
        <v>59</v>
      </c>
      <c r="E26" s="17"/>
      <c r="F26" s="83">
        <v>401.36</v>
      </c>
      <c r="G26" s="18"/>
      <c r="H26" s="114"/>
    </row>
    <row r="27" spans="1:8" ht="17.25" customHeight="1" thickBot="1">
      <c r="A27" s="168">
        <f>IF(A12 = "", Fin, IF(A12&gt;DATE(YEAR(A12),3,20),IF(A12&lt;DATE(YEAR(A12),12,21),7 / 24,6 / 24),6 /24))</f>
        <v>0.29166666666666669</v>
      </c>
      <c r="B27" s="6"/>
      <c r="C27" s="6"/>
      <c r="D27" s="115" t="s">
        <v>12</v>
      </c>
      <c r="E27" s="116"/>
      <c r="F27" s="117">
        <f>+F26/35</f>
        <v>11.467428571428572</v>
      </c>
      <c r="G27" s="117"/>
      <c r="H27" s="118"/>
    </row>
    <row r="28" spans="1:8" s="3" customFormat="1" ht="17.25" customHeight="1">
      <c r="A28" s="169">
        <f>IF(A15 = "", Fin, IF(A15&gt;DATE(YEAR(A15),3,20),IF(A15&lt;DATE(YEAR(A15),12,21),7 / 24,6 / 24),6 /24))</f>
        <v>0.29166666666666669</v>
      </c>
      <c r="B28" s="9"/>
      <c r="C28" s="10"/>
      <c r="D28" s="96" t="s">
        <v>13</v>
      </c>
      <c r="E28" s="19">
        <f>IF(E23&gt;35 / 24,35 / 24,E23)</f>
        <v>0</v>
      </c>
      <c r="F28" s="103">
        <f>(F27*E28)*24</f>
        <v>0</v>
      </c>
      <c r="G28" s="103"/>
      <c r="H28" s="88"/>
    </row>
    <row r="29" spans="1:8" s="3" customFormat="1" ht="17.25" customHeight="1">
      <c r="A29" s="169">
        <f>IF(A18 = "", Fin, IF(A18&gt;DATE(YEAR(A18),3,20),IF(A18&lt;DATE(YEAR(A18),12,21),7 / 24,6 / 24),6 /24))</f>
        <v>0.29166666666666669</v>
      </c>
      <c r="B29" s="9"/>
      <c r="C29" s="32" t="s">
        <v>14</v>
      </c>
      <c r="D29" s="97" t="s">
        <v>15</v>
      </c>
      <c r="E29" s="20">
        <f>IF(E23&gt;35 / 24,IF(E23&lt;43 / 24,E23-35 / 24,8 / 24),0 / 24)</f>
        <v>0</v>
      </c>
      <c r="F29" s="104">
        <f>((F27*E29)*24)*1.25</f>
        <v>0</v>
      </c>
      <c r="G29" s="104"/>
      <c r="H29" s="89"/>
    </row>
    <row r="30" spans="1:8" s="3" customFormat="1" ht="17.25" customHeight="1">
      <c r="A30" s="169">
        <f ca="1">IF(A21 = "", Fin, IF(A21&gt;DATE(YEAR(A21),3,20),IF(A21&lt;DATE(YEAR(A21),12,21),7 / 24,6 / 24),6 /24))</f>
        <v>0.25</v>
      </c>
      <c r="B30" s="9"/>
      <c r="C30" s="33" t="s">
        <v>16</v>
      </c>
      <c r="D30" s="98" t="s">
        <v>17</v>
      </c>
      <c r="E30" s="21">
        <f>IF(E23&gt;47 / 24,4 / 24,IF(E23&gt;43 / 24,E23-43 / 24,0 / 24))</f>
        <v>0</v>
      </c>
      <c r="F30" s="105">
        <f>((F27*E30)*24)*1.5</f>
        <v>0</v>
      </c>
      <c r="G30" s="105"/>
      <c r="H30" s="90"/>
    </row>
    <row r="31" spans="1:8" s="3" customFormat="1" ht="17.25" customHeight="1">
      <c r="A31" s="171"/>
      <c r="B31" s="9"/>
      <c r="C31" s="32" t="s">
        <v>29</v>
      </c>
      <c r="D31" s="97" t="s">
        <v>17</v>
      </c>
      <c r="E31" s="20">
        <f>IF(E23&gt;47 / 24,E23- 47 / 24,0 /24)</f>
        <v>0</v>
      </c>
      <c r="F31" s="104">
        <f>((F27*E31)*24)*1.5</f>
        <v>0</v>
      </c>
      <c r="G31" s="104"/>
      <c r="H31" s="89"/>
    </row>
    <row r="32" spans="1:8" s="3" customFormat="1" ht="17.25" customHeight="1" thickBot="1">
      <c r="A32" s="8"/>
      <c r="B32" s="46"/>
      <c r="C32" s="11"/>
      <c r="D32" s="99" t="s">
        <v>18</v>
      </c>
      <c r="E32" s="22">
        <f>G22</f>
        <v>0</v>
      </c>
      <c r="F32" s="106">
        <f>(F27*E32)*24</f>
        <v>0</v>
      </c>
      <c r="G32" s="106"/>
      <c r="H32" s="93"/>
    </row>
    <row r="33" spans="1:8" s="3" customFormat="1" ht="17.25" customHeight="1">
      <c r="A33" s="8"/>
      <c r="B33" s="84" t="s">
        <v>19</v>
      </c>
      <c r="C33" s="41"/>
      <c r="D33" s="100" t="s">
        <v>20</v>
      </c>
      <c r="E33" s="23">
        <f ca="1">F23</f>
        <v>0</v>
      </c>
      <c r="F33" s="107">
        <f ca="1">((F27*E33)*24)*0.25</f>
        <v>0</v>
      </c>
      <c r="G33" s="107"/>
      <c r="H33" s="92"/>
    </row>
    <row r="34" spans="1:8" s="3" customFormat="1" ht="17.25" customHeight="1">
      <c r="A34" s="8"/>
      <c r="B34" s="85">
        <f ca="1">IF(D2&gt;DATE(YEAR(TODAY()),3,20),IF(D2&lt;DATE(YEAR(TODAY()),12,21),22 / 24,20 / 24),20 /24)</f>
        <v>0.83333333333333337</v>
      </c>
      <c r="C34" s="13"/>
      <c r="D34" s="101" t="s">
        <v>21</v>
      </c>
      <c r="E34" s="24">
        <f>G23</f>
        <v>0</v>
      </c>
      <c r="F34" s="108">
        <f>((F27*E34)*24)*0.5</f>
        <v>0</v>
      </c>
      <c r="G34" s="108"/>
      <c r="H34" s="91"/>
    </row>
    <row r="35" spans="1:8" s="3" customFormat="1" ht="17.25" customHeight="1">
      <c r="A35" s="8"/>
      <c r="B35" s="86" t="s">
        <v>22</v>
      </c>
      <c r="C35" s="12"/>
      <c r="D35" s="100" t="s">
        <v>56</v>
      </c>
      <c r="E35" s="23">
        <f>H23</f>
        <v>0</v>
      </c>
      <c r="F35" s="107">
        <f>(F27*E35)*24</f>
        <v>0</v>
      </c>
      <c r="G35" s="107"/>
      <c r="H35" s="92"/>
    </row>
    <row r="36" spans="1:8" s="3" customFormat="1" ht="17.25" customHeight="1" thickBot="1">
      <c r="A36" s="36"/>
      <c r="B36" s="87">
        <f ca="1">IF(D2&gt;DATE(YEAR(TODAY()),3,20),IF(D2&lt;DATE(YEAR(TODAY()),12,21),7 / 24,6 / 24),6 /24)</f>
        <v>0.25</v>
      </c>
      <c r="C36" s="13"/>
      <c r="D36" s="101" t="s">
        <v>23</v>
      </c>
      <c r="E36" s="24">
        <f>SUM(E21,E18,E15,E12,E9,E6)</f>
        <v>0</v>
      </c>
      <c r="F36" s="108">
        <f>(F27*E36)*24</f>
        <v>0</v>
      </c>
      <c r="G36" s="108"/>
      <c r="H36" s="91"/>
    </row>
    <row r="37" spans="1:8" ht="17.25" customHeight="1">
      <c r="A37" s="156" t="s">
        <v>24</v>
      </c>
      <c r="B37" s="157"/>
      <c r="C37" s="41"/>
      <c r="D37" s="100" t="s">
        <v>25</v>
      </c>
      <c r="E37" s="23">
        <v>0</v>
      </c>
      <c r="F37" s="107">
        <f>(F27*E37)*24</f>
        <v>0</v>
      </c>
      <c r="G37" s="107"/>
      <c r="H37" s="92"/>
    </row>
    <row r="38" spans="1:8" ht="17" thickBot="1">
      <c r="A38" s="161" t="s">
        <v>26</v>
      </c>
      <c r="B38" s="158"/>
      <c r="C38" s="133"/>
      <c r="D38" s="134" t="s">
        <v>33</v>
      </c>
      <c r="E38" s="135">
        <f>IF(B7&lt;&gt;"",E5,IF(B10&lt;&gt;"",E8,IF(B13&lt;&gt;"",E11,IF(B16&lt;&gt;"",E14,IF(B19&lt;&gt;"",E17,IF(B22&lt;&gt;"",E20, 0))))))</f>
        <v>0</v>
      </c>
      <c r="F38" s="136">
        <f>((F27*E38)*24)*0.5</f>
        <v>0</v>
      </c>
      <c r="G38" s="137"/>
      <c r="H38" s="138"/>
    </row>
    <row r="39" spans="1:8" ht="17" thickBot="1">
      <c r="A39" s="159"/>
      <c r="B39" s="160"/>
      <c r="C39" s="208" t="s">
        <v>68</v>
      </c>
      <c r="D39" s="152" t="s">
        <v>27</v>
      </c>
      <c r="E39" s="110">
        <f>IF(AND(E5&lt;&gt;0,E8&lt;&gt;0,E11&lt;&gt;0,E14&lt;&gt;0,E17&lt;&gt;0),IF(E23=0/24,0/24,IF(E23&lt;35/24,35/24,E23)),E23)</f>
        <v>0</v>
      </c>
      <c r="F39" s="111">
        <f>IF(E39=0/24,0,IF(E39&lt;35/24,SUM(F28:F38),IF(E39&gt;35/24,SUM(F28:F38),F26+SUM(F32:F38))))</f>
        <v>0</v>
      </c>
      <c r="G39" s="153"/>
      <c r="H39" s="154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Ass Adj</vt:lpstr>
      <vt:lpstr>'1er Ass'!Deb</vt:lpstr>
      <vt:lpstr>'2nd Ass'!Deb</vt:lpstr>
      <vt:lpstr>'Ass Adj'!Deb</vt:lpstr>
      <vt:lpstr>'1er Ass'!Fin</vt:lpstr>
      <vt:lpstr>'2nd Ass'!Fin</vt:lpstr>
      <vt:lpstr>'Ass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2023-01-21T16:49:39Z</dcterms:modified>
  <cp:category/>
  <cp:contentStatus/>
</cp:coreProperties>
</file>