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ate1904="1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13_ncr:1_{DF2B7BC8-D4A2-F04A-8ACD-C0AB1451C2B6}" xr6:coauthVersionLast="36" xr6:coauthVersionMax="47" xr10:uidLastSave="{00000000-0000-0000-0000-000000000000}"/>
  <bookViews>
    <workbookView xWindow="10260" yWindow="1900" windowWidth="24240" windowHeight="13080" activeTab="1" xr2:uid="{00000000-000D-0000-FFFF-FFFF00000000}"/>
  </bookViews>
  <sheets>
    <sheet name="Notice" sheetId="5" r:id="rId1"/>
    <sheet name="1er Ass" sheetId="11" r:id="rId2"/>
    <sheet name="2nd Ass" sheetId="1" r:id="rId3"/>
    <sheet name="Tech Retour Image" sheetId="12" r:id="rId4"/>
  </sheets>
  <definedNames>
    <definedName name="Deb" localSheetId="1">'1er Ass'!$A$27</definedName>
    <definedName name="Deb" localSheetId="3">'Tech Retour Image'!$A$27</definedName>
    <definedName name="Deb">'2nd Ass'!$A$27</definedName>
    <definedName name="Fin" localSheetId="1">'1er Ass'!$A$29</definedName>
    <definedName name="Fin" localSheetId="3">'Tech Retour Image'!$A$29</definedName>
    <definedName name="Fin">'2nd Ass'!$A$29</definedName>
  </definedNames>
  <calcPr calcId="181029"/>
</workbook>
</file>

<file path=xl/calcChain.xml><?xml version="1.0" encoding="utf-8"?>
<calcChain xmlns="http://schemas.openxmlformats.org/spreadsheetml/2006/main">
  <c r="D3" i="11" l="1"/>
  <c r="D2" i="11"/>
  <c r="A27" i="11"/>
  <c r="D22" i="12"/>
  <c r="D21" i="12"/>
  <c r="D20" i="12"/>
  <c r="E20" i="12" s="1"/>
  <c r="D19" i="12"/>
  <c r="D18" i="12"/>
  <c r="D17" i="12"/>
  <c r="E17" i="12" s="1"/>
  <c r="D16" i="12"/>
  <c r="D15" i="12"/>
  <c r="D14" i="12"/>
  <c r="E14" i="12" s="1"/>
  <c r="D13" i="12"/>
  <c r="D12" i="12"/>
  <c r="D11" i="12"/>
  <c r="E11" i="12" s="1"/>
  <c r="D10" i="12"/>
  <c r="D9" i="12"/>
  <c r="D8" i="12"/>
  <c r="E8" i="12" s="1"/>
  <c r="D7" i="12"/>
  <c r="D6" i="12"/>
  <c r="D5" i="12"/>
  <c r="E5" i="12" s="1"/>
  <c r="D21" i="1"/>
  <c r="E20" i="1" s="1"/>
  <c r="D20" i="1"/>
  <c r="D18" i="1"/>
  <c r="D17" i="1"/>
  <c r="E17" i="1" s="1"/>
  <c r="D15" i="1"/>
  <c r="E14" i="1" s="1"/>
  <c r="D14" i="1"/>
  <c r="D12" i="1"/>
  <c r="D11" i="1"/>
  <c r="D9" i="1"/>
  <c r="D8" i="1"/>
  <c r="D22" i="1"/>
  <c r="D19" i="1"/>
  <c r="D16" i="1"/>
  <c r="D13" i="1"/>
  <c r="E11" i="1"/>
  <c r="D10" i="1"/>
  <c r="E8" i="1"/>
  <c r="E7" i="1"/>
  <c r="D7" i="1"/>
  <c r="D22" i="11"/>
  <c r="E20" i="11"/>
  <c r="D19" i="11"/>
  <c r="E17" i="11"/>
  <c r="D16" i="11"/>
  <c r="E14" i="11"/>
  <c r="D13" i="11"/>
  <c r="E11" i="11"/>
  <c r="D10" i="11"/>
  <c r="E8" i="11"/>
  <c r="E7" i="11"/>
  <c r="D7" i="11"/>
  <c r="D2" i="1" l="1"/>
  <c r="A27" i="1" s="1"/>
  <c r="A25" i="11" l="1"/>
  <c r="A24" i="11" l="1"/>
  <c r="C17" i="1" l="1"/>
  <c r="B8" i="11" l="1"/>
  <c r="E5" i="11"/>
  <c r="B11" i="11"/>
  <c r="B5" i="11"/>
  <c r="B14" i="11"/>
  <c r="B17" i="11"/>
  <c r="B20" i="11"/>
  <c r="H23" i="11" l="1"/>
  <c r="B1" i="12"/>
  <c r="A25" i="1"/>
  <c r="H20" i="12"/>
  <c r="H17" i="12"/>
  <c r="H14" i="12"/>
  <c r="H11" i="12"/>
  <c r="H8" i="12"/>
  <c r="H5" i="12"/>
  <c r="H20" i="1"/>
  <c r="H17" i="1"/>
  <c r="H14" i="1"/>
  <c r="H11" i="1"/>
  <c r="H8" i="1"/>
  <c r="H5" i="1"/>
  <c r="D5" i="1"/>
  <c r="A6" i="1" l="1"/>
  <c r="A7" i="1" s="1"/>
  <c r="H23" i="1"/>
  <c r="H23" i="12"/>
  <c r="C9" i="12"/>
  <c r="F24" i="11"/>
  <c r="E24" i="11"/>
  <c r="D24" i="11"/>
  <c r="C24" i="11"/>
  <c r="B24" i="11"/>
  <c r="G20" i="11"/>
  <c r="G17" i="11"/>
  <c r="G11" i="11"/>
  <c r="G8" i="11"/>
  <c r="G14" i="11"/>
  <c r="E25" i="11" l="1"/>
  <c r="A14" i="1"/>
  <c r="A8" i="1"/>
  <c r="A20" i="1"/>
  <c r="A11" i="1"/>
  <c r="A17" i="1"/>
  <c r="A5" i="1"/>
  <c r="C11" i="12"/>
  <c r="C5" i="1" l="1"/>
  <c r="B24" i="1"/>
  <c r="C9" i="1"/>
  <c r="D3" i="1"/>
  <c r="A9" i="1" s="1"/>
  <c r="D1" i="1"/>
  <c r="A12" i="1" l="1"/>
  <c r="A13" i="1" l="1"/>
  <c r="F11" i="1" s="1"/>
  <c r="A15" i="1"/>
  <c r="D6" i="1"/>
  <c r="F5" i="1" s="1"/>
  <c r="A24" i="1" l="1"/>
  <c r="A16" i="1"/>
  <c r="A18" i="1"/>
  <c r="B2" i="1"/>
  <c r="B1" i="1"/>
  <c r="D2" i="12"/>
  <c r="D3" i="12"/>
  <c r="C6" i="1"/>
  <c r="F6" i="1" s="1"/>
  <c r="C21" i="12"/>
  <c r="F24" i="12"/>
  <c r="C20" i="12"/>
  <c r="C18" i="12"/>
  <c r="E24" i="12"/>
  <c r="C17" i="12"/>
  <c r="C15" i="12"/>
  <c r="D24" i="12"/>
  <c r="C14" i="12"/>
  <c r="C24" i="12"/>
  <c r="C12" i="12"/>
  <c r="B11" i="12" s="1"/>
  <c r="C8" i="12"/>
  <c r="B8" i="12" s="1"/>
  <c r="C6" i="12"/>
  <c r="C5" i="12"/>
  <c r="B2" i="12"/>
  <c r="F1" i="12"/>
  <c r="D1" i="12"/>
  <c r="C21" i="1"/>
  <c r="C20" i="1"/>
  <c r="E24" i="1"/>
  <c r="C18" i="1"/>
  <c r="C15" i="1"/>
  <c r="C14" i="1"/>
  <c r="C12" i="1"/>
  <c r="C11" i="1"/>
  <c r="C8" i="1"/>
  <c r="F1" i="1"/>
  <c r="C22" i="11"/>
  <c r="E22" i="11" s="1"/>
  <c r="E21" i="11" s="1"/>
  <c r="C19" i="11"/>
  <c r="E19" i="11" s="1"/>
  <c r="E18" i="11" s="1"/>
  <c r="C16" i="11"/>
  <c r="E16" i="11" s="1"/>
  <c r="E15" i="11" s="1"/>
  <c r="C13" i="11"/>
  <c r="E13" i="11" s="1"/>
  <c r="E12" i="11" s="1"/>
  <c r="C10" i="11"/>
  <c r="E10" i="11" s="1"/>
  <c r="E9" i="11" s="1"/>
  <c r="C7" i="11"/>
  <c r="A27" i="12" l="1"/>
  <c r="A25" i="12" s="1"/>
  <c r="F24" i="1"/>
  <c r="B24" i="12"/>
  <c r="A24" i="12"/>
  <c r="G11" i="1"/>
  <c r="C24" i="1"/>
  <c r="F14" i="1"/>
  <c r="D24" i="1"/>
  <c r="F7" i="1"/>
  <c r="B25" i="1"/>
  <c r="A10" i="1"/>
  <c r="F8" i="1" s="1"/>
  <c r="F12" i="1"/>
  <c r="B11" i="1"/>
  <c r="F15" i="1"/>
  <c r="B8" i="1"/>
  <c r="A19" i="1"/>
  <c r="F17" i="1" s="1"/>
  <c r="A21" i="1"/>
  <c r="A22" i="1" s="1"/>
  <c r="F20" i="1" s="1"/>
  <c r="A6" i="12"/>
  <c r="A9" i="12" s="1"/>
  <c r="B14" i="12"/>
  <c r="B14" i="1"/>
  <c r="B23" i="11"/>
  <c r="B20" i="1"/>
  <c r="B17" i="12"/>
  <c r="B20" i="12"/>
  <c r="B17" i="1"/>
  <c r="B5" i="12"/>
  <c r="B5" i="1"/>
  <c r="E23" i="11"/>
  <c r="G14" i="12"/>
  <c r="G8" i="1"/>
  <c r="G8" i="12"/>
  <c r="G14" i="1"/>
  <c r="G20" i="12"/>
  <c r="G17" i="1"/>
  <c r="G20" i="1"/>
  <c r="G17" i="12"/>
  <c r="G11" i="12"/>
  <c r="B18" i="11"/>
  <c r="B7" i="1"/>
  <c r="E5" i="1"/>
  <c r="B21" i="11"/>
  <c r="C22" i="12"/>
  <c r="E22" i="12" s="1"/>
  <c r="E21" i="12" s="1"/>
  <c r="B15" i="11"/>
  <c r="G23" i="11"/>
  <c r="B9" i="11"/>
  <c r="E6" i="11"/>
  <c r="C7" i="12"/>
  <c r="E7" i="12" s="1"/>
  <c r="E6" i="12" s="1"/>
  <c r="C10" i="12"/>
  <c r="E10" i="12" s="1"/>
  <c r="E9" i="12" s="1"/>
  <c r="C19" i="12"/>
  <c r="E19" i="12" s="1"/>
  <c r="E18" i="12" s="1"/>
  <c r="C13" i="12"/>
  <c r="E13" i="12" s="1"/>
  <c r="E12" i="12" s="1"/>
  <c r="C16" i="12"/>
  <c r="E16" i="12" s="1"/>
  <c r="E15" i="12" s="1"/>
  <c r="E25" i="12" l="1"/>
  <c r="E25" i="1"/>
  <c r="F9" i="1"/>
  <c r="F10" i="1" s="1"/>
  <c r="F13" i="1"/>
  <c r="B27" i="1"/>
  <c r="F16" i="1"/>
  <c r="B28" i="1"/>
  <c r="B6" i="11"/>
  <c r="F18" i="1"/>
  <c r="F21" i="1"/>
  <c r="E26" i="11"/>
  <c r="A10" i="12"/>
  <c r="A12" i="12"/>
  <c r="A14" i="12"/>
  <c r="A7" i="12"/>
  <c r="F5" i="12" s="1"/>
  <c r="A5" i="12"/>
  <c r="B7" i="12" s="1"/>
  <c r="A17" i="12"/>
  <c r="A20" i="12"/>
  <c r="A11" i="12"/>
  <c r="A8" i="12"/>
  <c r="B10" i="12" s="1"/>
  <c r="B10" i="1"/>
  <c r="B23" i="12"/>
  <c r="B23" i="1"/>
  <c r="B6" i="12"/>
  <c r="E23" i="12"/>
  <c r="B9" i="12"/>
  <c r="E23" i="1"/>
  <c r="B12" i="11"/>
  <c r="H22" i="11"/>
  <c r="B12" i="12"/>
  <c r="B13" i="1"/>
  <c r="B18" i="12"/>
  <c r="H16" i="11"/>
  <c r="B21" i="12"/>
  <c r="G23" i="12"/>
  <c r="H13" i="11"/>
  <c r="G23" i="1"/>
  <c r="H7" i="11"/>
  <c r="B15" i="12"/>
  <c r="H19" i="11"/>
  <c r="H10" i="11"/>
  <c r="E26" i="12" l="1"/>
  <c r="E26" i="1"/>
  <c r="B26" i="1"/>
  <c r="F19" i="1"/>
  <c r="B29" i="1"/>
  <c r="F22" i="1"/>
  <c r="B30" i="1"/>
  <c r="F6" i="12"/>
  <c r="A15" i="12"/>
  <c r="A13" i="12"/>
  <c r="F11" i="12" s="1"/>
  <c r="B13" i="12"/>
  <c r="F9" i="12"/>
  <c r="F8" i="12"/>
  <c r="H7" i="12"/>
  <c r="H10" i="12"/>
  <c r="H13" i="12"/>
  <c r="H19" i="12"/>
  <c r="H22" i="12"/>
  <c r="G22" i="11"/>
  <c r="H16" i="12"/>
  <c r="F7" i="12" l="1"/>
  <c r="B25" i="12"/>
  <c r="B26" i="12"/>
  <c r="A16" i="12"/>
  <c r="A18" i="12"/>
  <c r="B16" i="12"/>
  <c r="F12" i="12"/>
  <c r="F10" i="12"/>
  <c r="B19" i="1"/>
  <c r="B16" i="1"/>
  <c r="G22" i="12"/>
  <c r="B27" i="12" l="1"/>
  <c r="A21" i="12"/>
  <c r="A19" i="12"/>
  <c r="F17" i="12" s="1"/>
  <c r="B19" i="12"/>
  <c r="F15" i="12"/>
  <c r="F14" i="12"/>
  <c r="F13" i="12"/>
  <c r="B22" i="1"/>
  <c r="B28" i="12" l="1"/>
  <c r="F18" i="12"/>
  <c r="A22" i="12"/>
  <c r="B22" i="12"/>
  <c r="F16" i="12"/>
  <c r="F19" i="12" l="1"/>
  <c r="B29" i="12"/>
  <c r="F20" i="12"/>
  <c r="F21" i="12"/>
  <c r="C22" i="1"/>
  <c r="E22" i="1" s="1"/>
  <c r="E21" i="1" s="1"/>
  <c r="C19" i="1"/>
  <c r="C16" i="1"/>
  <c r="E16" i="1" s="1"/>
  <c r="E15" i="1" s="1"/>
  <c r="C13" i="1"/>
  <c r="C10" i="1"/>
  <c r="C7" i="1"/>
  <c r="E6" i="1" s="1"/>
  <c r="B6" i="1" s="1"/>
  <c r="E19" i="1" l="1"/>
  <c r="E18" i="1" s="1"/>
  <c r="B18" i="1" s="1"/>
  <c r="E13" i="1"/>
  <c r="E12" i="1" s="1"/>
  <c r="B12" i="1" s="1"/>
  <c r="E10" i="1"/>
  <c r="E9" i="1" s="1"/>
  <c r="B9" i="1" s="1"/>
  <c r="F23" i="12"/>
  <c r="F22" i="12"/>
  <c r="B30" i="12"/>
  <c r="B15" i="1"/>
  <c r="B21" i="1"/>
  <c r="H16" i="1" l="1"/>
  <c r="H10" i="1"/>
  <c r="H7" i="1"/>
  <c r="H22" i="1"/>
  <c r="H13" i="1"/>
  <c r="H19" i="1"/>
  <c r="G22" i="1" l="1"/>
  <c r="F23" i="1" l="1"/>
  <c r="A6" i="11" l="1"/>
  <c r="A7" i="11" s="1"/>
  <c r="F5" i="11" s="1"/>
  <c r="F6" i="11" l="1"/>
  <c r="F7" i="11" s="1"/>
  <c r="A11" i="11"/>
  <c r="A9" i="11"/>
  <c r="A5" i="11"/>
  <c r="B7" i="11" s="1"/>
  <c r="A17" i="11"/>
  <c r="A20" i="11"/>
  <c r="A14" i="11"/>
  <c r="A8" i="11"/>
  <c r="B25" i="11" l="1"/>
  <c r="A12" i="11"/>
  <c r="A10" i="11"/>
  <c r="F8" i="11" s="1"/>
  <c r="B10" i="11"/>
  <c r="A15" i="11" l="1"/>
  <c r="A13" i="11"/>
  <c r="F11" i="11" s="1"/>
  <c r="F9" i="11"/>
  <c r="B16" i="11"/>
  <c r="A16" i="11"/>
  <c r="F14" i="11" s="1"/>
  <c r="B13" i="11"/>
  <c r="A18" i="11"/>
  <c r="B26" i="11" l="1"/>
  <c r="F15" i="11"/>
  <c r="F12" i="11"/>
  <c r="F13" i="11" s="1"/>
  <c r="F10" i="11"/>
  <c r="B19" i="11"/>
  <c r="A19" i="11"/>
  <c r="F17" i="11" s="1"/>
  <c r="A21" i="11"/>
  <c r="B28" i="11" l="1"/>
  <c r="B27" i="11"/>
  <c r="F18" i="11"/>
  <c r="F16" i="11"/>
  <c r="B22" i="11"/>
  <c r="A22" i="11"/>
  <c r="F19" i="11" l="1"/>
  <c r="B29" i="11"/>
  <c r="F20" i="11"/>
  <c r="F21" i="11"/>
  <c r="F22" i="11" l="1"/>
  <c r="B30" i="11"/>
  <c r="F23" i="11"/>
</calcChain>
</file>

<file path=xl/sharedStrings.xml><?xml version="1.0" encoding="utf-8"?>
<sst xmlns="http://schemas.openxmlformats.org/spreadsheetml/2006/main" count="100" uniqueCount="54">
  <si>
    <t>Date</t>
  </si>
  <si>
    <t>à</t>
  </si>
  <si>
    <t>Heures de nuit :</t>
  </si>
  <si>
    <t>Heures de Nuit</t>
  </si>
  <si>
    <t>Equipe :</t>
  </si>
  <si>
    <t>Noms :</t>
  </si>
  <si>
    <t>PRODUCTION :</t>
  </si>
  <si>
    <t>FILM :</t>
  </si>
  <si>
    <t>Tarifs SEMAINE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</si>
  <si>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</si>
  <si>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</si>
  <si>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TOTAL HEURES SEMAINE :</t>
  </si>
  <si>
    <r>
      <t xml:space="preserve">Heures de Transport
</t>
    </r>
    <r>
      <rPr>
        <sz val="10"/>
        <color rgb="FF0070C0"/>
        <rFont val="Arial"/>
        <family val="2"/>
      </rPr>
      <t>(Hors Paris-2h/jour Max)</t>
    </r>
  </si>
  <si>
    <t xml:space="preserve">Remplir la partie "infos" à titre indicatif: Semaine, Prod, Film etc... </t>
  </si>
  <si>
    <t>Annexe II</t>
  </si>
  <si>
    <t>Caméra</t>
  </si>
  <si>
    <t>Spécial</t>
  </si>
  <si>
    <t>John Smith</t>
  </si>
  <si>
    <t xml:space="preserve">Indiquer également les heures de début et de fin de repas (la feuille prend en compte les journées continues </t>
  </si>
  <si>
    <t>La feuille va donc calculer le total des heures au-delà de 35h, ainsi que les majorations à 25%, 50% ou 100%</t>
  </si>
  <si>
    <t>qui en découlent.</t>
  </si>
  <si>
    <t>des heures d'équivalence.</t>
  </si>
  <si>
    <t>Puis remplir les horaires de travail effectifs soit : arrivée sur le plateau et fermeture du camion en fin de journée.</t>
  </si>
  <si>
    <t>Il faut respecter le format  "hh:mm" par exemple 20:00 pour 20h00.</t>
  </si>
  <si>
    <t>et les coupures réduites le cas écheant).</t>
  </si>
  <si>
    <t>La feuille générera elle-même les jours de la semaine.</t>
  </si>
  <si>
    <t>Chaque feuille correspond à un poste et donc à un niveau de salaire.</t>
  </si>
  <si>
    <t>Ce classeur de feuilles d'heures se remplit de la façon suivante :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</si>
  <si>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</si>
  <si>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</si>
  <si>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</si>
  <si>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 xml:space="preserve">Production Cinéma </t>
  </si>
  <si>
    <t>Heure Coupure Repas              Début / Fin</t>
  </si>
  <si>
    <t xml:space="preserve">bloqués et générés automatiquement par la feuille. </t>
  </si>
  <si>
    <t>Si vous souhaitez modifier d'autres choses sur la feuille, il n'y a pas de mot de passe pour la déverouiller.</t>
  </si>
  <si>
    <t>Du</t>
  </si>
  <si>
    <t>Au</t>
  </si>
  <si>
    <t>Par exemple : saisir =DATE(2022;2;7) et =DATE(2022;2;11) pour une semaine allant du 07/02/2022 au 11/02/2022.</t>
  </si>
  <si>
    <t xml:space="preserve">Somme des Heures
</t>
  </si>
  <si>
    <t>La feuille prend en compte la période des heures de nuit (été ou hiver) en se basant sur les dates de la</t>
  </si>
  <si>
    <t>(semaine 43h mini)</t>
  </si>
  <si>
    <t xml:space="preserve"> HEURES EQUIVALENCE </t>
  </si>
  <si>
    <t>HEURES SEMAINES AVEC EQUIVALENCE</t>
  </si>
  <si>
    <r>
      <t xml:space="preserve"> </t>
    </r>
    <r>
      <rPr>
        <b/>
        <sz val="10"/>
        <color theme="2" tint="-0.749992370372631"/>
        <rFont val="Arial"/>
        <family val="2"/>
      </rPr>
      <t xml:space="preserve">HEURES EQUIVALENCE </t>
    </r>
  </si>
  <si>
    <r>
      <t xml:space="preserve">Rentrer les dates de début et de fin de la semaine de travail </t>
    </r>
    <r>
      <rPr>
        <b/>
        <sz val="11"/>
        <rFont val="Century Gothic"/>
        <family val="1"/>
      </rPr>
      <t>en respectant le Format "=DATE(aaaa;m;j)"</t>
    </r>
  </si>
  <si>
    <r>
      <rPr>
        <b/>
        <sz val="11"/>
        <rFont val="Century Gothic"/>
        <family val="1"/>
      </rPr>
      <t>Attention : la feuille est verouillée, il ne faut remplir QUE les champs qui sont indiqués en italique</t>
    </r>
    <r>
      <rPr>
        <sz val="11"/>
        <rFont val="Century Gothic"/>
        <family val="1"/>
      </rPr>
      <t xml:space="preserve">, les autres sont </t>
    </r>
  </si>
  <si>
    <r>
      <t xml:space="preserve">semaine saisie. Pour rappel, la période de nuit est comprise entre </t>
    </r>
    <r>
      <rPr>
        <b/>
        <sz val="11"/>
        <color theme="1"/>
        <rFont val="Century Gothic"/>
        <family val="1"/>
      </rPr>
      <t>20h et 6h du 1er octobre au 31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</si>
  <si>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6h du 1er avril au 30 septembre</t>
    </r>
    <r>
      <rPr>
        <sz val="11"/>
        <color theme="1"/>
        <rFont val="Century Gothic"/>
        <family val="1"/>
      </rPr>
      <t xml:space="preserve">. </t>
    </r>
  </si>
  <si>
    <t>Heure Coupure Repas                Début / Fin</t>
  </si>
  <si>
    <t>Attention, le total d'heures indiqué en rouge dans Heures semaines correspond au total après le retrait</t>
  </si>
  <si>
    <t>"Production"</t>
  </si>
  <si>
    <t>"Film"</t>
  </si>
  <si>
    <t>Semaine N°</t>
  </si>
  <si>
    <t>Matrice d'heures Cinéma - AOA - Version 1.6 - MaJ du 08/08/2023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</si>
</sst>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\ _€_ ;_ * \(#,##0.00\)\ _€_ ;_ * &quot;-&quot;??_)\ _€_ ;_ @_ "/>
    <numFmt numFmtId="164" formatCode="[h]:mm"/>
    <numFmt numFmtId="165" formatCode="h:mm;@"/>
  </numFmts>
  <fonts count="46">
    <font>
      <sz val="9"/>
      <name val="Geneva"/>
    </font>
    <font>
      <sz val="8"/>
      <name val="Geneva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9"/>
      <color theme="7" tint="-0.499984740745262"/>
      <name val="Arial"/>
      <family val="2"/>
    </font>
    <font>
      <b/>
      <sz val="20"/>
      <name val="Century Gothic"/>
      <family val="1"/>
    </font>
    <font>
      <sz val="20"/>
      <name val="Century Gothic"/>
      <family val="1"/>
    </font>
    <font>
      <sz val="9"/>
      <name val="Century Gothic"/>
      <family val="1"/>
    </font>
    <font>
      <sz val="16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12"/>
      <color theme="3" tint="0.79998168889431442"/>
      <name val="Arial"/>
      <family val="2"/>
    </font>
    <font>
      <i/>
      <sz val="12"/>
      <name val="Geneva"/>
      <family val="2"/>
    </font>
    <font>
      <b/>
      <sz val="10"/>
      <color theme="2" tint="-0.749992370372631"/>
      <name val="Arial"/>
      <family val="2"/>
    </font>
    <font>
      <b/>
      <sz val="10"/>
      <name val="Arial"/>
      <family val="2"/>
    </font>
    <font>
      <i/>
      <sz val="11"/>
      <name val="Century Gothic"/>
      <family val="1"/>
    </font>
    <font>
      <sz val="11"/>
      <name val="Century Gothic"/>
      <family val="1"/>
    </font>
    <font>
      <sz val="11"/>
      <name val="Geneva"/>
      <family val="2"/>
    </font>
    <font>
      <b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4EDF8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</borders>
  <cellStyleXfs count="32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6" fillId="3" borderId="2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top" wrapText="1"/>
    </xf>
    <xf numFmtId="0" fontId="23" fillId="5" borderId="6" xfId="0" applyFont="1" applyFill="1" applyBorder="1" applyAlignment="1">
      <alignment horizontal="right" vertical="center"/>
    </xf>
    <xf numFmtId="0" fontId="23" fillId="8" borderId="5" xfId="0" applyFont="1" applyFill="1" applyBorder="1" applyAlignment="1">
      <alignment horizontal="right" vertical="top"/>
    </xf>
    <xf numFmtId="164" fontId="6" fillId="9" borderId="2" xfId="0" applyNumberFormat="1" applyFont="1" applyFill="1" applyBorder="1" applyAlignment="1">
      <alignment horizontal="center" vertical="center"/>
    </xf>
    <xf numFmtId="0" fontId="0" fillId="3" borderId="0" xfId="0" applyFill="1"/>
    <xf numFmtId="0" fontId="28" fillId="3" borderId="0" xfId="0" applyFont="1" applyFill="1"/>
    <xf numFmtId="0" fontId="28" fillId="0" borderId="0" xfId="0" applyFont="1"/>
    <xf numFmtId="0" fontId="29" fillId="0" borderId="0" xfId="0" applyFont="1"/>
    <xf numFmtId="49" fontId="9" fillId="3" borderId="9" xfId="0" applyNumberFormat="1" applyFont="1" applyFill="1" applyBorder="1" applyAlignment="1">
      <alignment horizontal="center" vertical="top"/>
    </xf>
    <xf numFmtId="49" fontId="9" fillId="3" borderId="3" xfId="0" applyNumberFormat="1" applyFont="1" applyFill="1" applyBorder="1" applyAlignment="1">
      <alignment horizontal="center" vertical="top" wrapText="1"/>
    </xf>
    <xf numFmtId="49" fontId="9" fillId="3" borderId="16" xfId="0" applyNumberFormat="1" applyFont="1" applyFill="1" applyBorder="1" applyAlignment="1">
      <alignment horizontal="center" vertical="top" wrapText="1"/>
    </xf>
    <xf numFmtId="165" fontId="2" fillId="9" borderId="0" xfId="0" applyNumberFormat="1" applyFont="1" applyFill="1" applyAlignment="1">
      <alignment horizontal="center"/>
    </xf>
    <xf numFmtId="165" fontId="5" fillId="9" borderId="17" xfId="0" applyNumberFormat="1" applyFont="1" applyFill="1" applyBorder="1" applyAlignment="1">
      <alignment horizontal="center" vertical="center"/>
    </xf>
    <xf numFmtId="20" fontId="21" fillId="3" borderId="2" xfId="0" applyNumberFormat="1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/>
    </xf>
    <xf numFmtId="165" fontId="18" fillId="0" borderId="17" xfId="0" applyNumberFormat="1" applyFont="1" applyBorder="1"/>
    <xf numFmtId="165" fontId="6" fillId="9" borderId="17" xfId="0" applyNumberFormat="1" applyFont="1" applyFill="1" applyBorder="1" applyAlignment="1">
      <alignment horizontal="center" vertical="center"/>
    </xf>
    <xf numFmtId="0" fontId="17" fillId="5" borderId="6" xfId="0" applyFont="1" applyFill="1" applyBorder="1" applyAlignment="1" applyProtection="1">
      <alignment horizontal="left" vertical="center"/>
      <protection locked="0"/>
    </xf>
    <xf numFmtId="0" fontId="17" fillId="8" borderId="0" xfId="0" applyFont="1" applyFill="1" applyAlignment="1" applyProtection="1">
      <alignment horizontal="left" vertical="center"/>
      <protection locked="0"/>
    </xf>
    <xf numFmtId="0" fontId="3" fillId="3" borderId="15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right" vertical="center"/>
    </xf>
    <xf numFmtId="0" fontId="17" fillId="5" borderId="14" xfId="0" applyFont="1" applyFill="1" applyBorder="1" applyAlignment="1" applyProtection="1">
      <alignment horizontal="center" vertical="center"/>
      <protection locked="0"/>
    </xf>
    <xf numFmtId="0" fontId="17" fillId="5" borderId="14" xfId="0" applyFont="1" applyFill="1" applyBorder="1" applyAlignment="1">
      <alignment horizontal="left" vertical="center"/>
    </xf>
    <xf numFmtId="0" fontId="23" fillId="8" borderId="12" xfId="0" applyFont="1" applyFill="1" applyBorder="1" applyAlignment="1">
      <alignment horizontal="right" vertical="center"/>
    </xf>
    <xf numFmtId="14" fontId="17" fillId="8" borderId="15" xfId="0" applyNumberFormat="1" applyFont="1" applyFill="1" applyBorder="1" applyAlignment="1" applyProtection="1">
      <alignment horizontal="center" vertical="center"/>
      <protection locked="0"/>
    </xf>
    <xf numFmtId="0" fontId="23" fillId="8" borderId="0" xfId="0" applyFont="1" applyFill="1" applyAlignment="1">
      <alignment horizontal="right" vertical="center"/>
    </xf>
    <xf numFmtId="0" fontId="17" fillId="8" borderId="15" xfId="0" applyFont="1" applyFill="1" applyBorder="1" applyAlignment="1">
      <alignment horizontal="left" vertical="center"/>
    </xf>
    <xf numFmtId="14" fontId="17" fillId="8" borderId="18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5" xfId="0" applyFont="1" applyFill="1" applyBorder="1" applyAlignment="1">
      <alignment horizontal="left" vertical="top"/>
    </xf>
    <xf numFmtId="0" fontId="16" fillId="9" borderId="12" xfId="0" applyFont="1" applyFill="1" applyBorder="1" applyAlignment="1">
      <alignment horizontal="center" vertical="center"/>
    </xf>
    <xf numFmtId="164" fontId="22" fillId="9" borderId="4" xfId="0" applyNumberFormat="1" applyFont="1" applyFill="1" applyBorder="1" applyAlignment="1" applyProtection="1">
      <alignment horizontal="center" vertical="center"/>
      <protection locked="0"/>
    </xf>
    <xf numFmtId="14" fontId="6" fillId="9" borderId="12" xfId="0" applyNumberFormat="1" applyFont="1" applyFill="1" applyBorder="1" applyAlignment="1">
      <alignment horizontal="center" vertical="center"/>
    </xf>
    <xf numFmtId="164" fontId="21" fillId="3" borderId="12" xfId="0" applyNumberFormat="1" applyFont="1" applyFill="1" applyBorder="1" applyAlignment="1">
      <alignment horizontal="center" vertical="center"/>
    </xf>
    <xf numFmtId="164" fontId="21" fillId="3" borderId="2" xfId="0" applyNumberFormat="1" applyFont="1" applyFill="1" applyBorder="1" applyAlignment="1">
      <alignment horizontal="center" vertical="center"/>
    </xf>
    <xf numFmtId="20" fontId="21" fillId="3" borderId="4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164" fontId="22" fillId="9" borderId="4" xfId="31" applyNumberFormat="1" applyFont="1" applyFill="1" applyBorder="1" applyAlignment="1" applyProtection="1">
      <alignment horizontal="center" vertical="center"/>
      <protection locked="0"/>
    </xf>
    <xf numFmtId="164" fontId="6" fillId="9" borderId="0" xfId="0" applyNumberFormat="1" applyFont="1" applyFill="1" applyAlignment="1">
      <alignment horizontal="center"/>
    </xf>
    <xf numFmtId="164" fontId="2" fillId="0" borderId="0" xfId="0" applyNumberFormat="1" applyFont="1"/>
    <xf numFmtId="0" fontId="32" fillId="3" borderId="1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14" fontId="17" fillId="8" borderId="15" xfId="0" quotePrefix="1" applyNumberFormat="1" applyFont="1" applyFill="1" applyBorder="1" applyAlignment="1" applyProtection="1">
      <alignment horizontal="center" vertical="center"/>
      <protection locked="0"/>
    </xf>
    <xf numFmtId="0" fontId="25" fillId="3" borderId="12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0" fillId="3" borderId="15" xfId="0" applyFill="1" applyBorder="1" applyAlignment="1">
      <alignment vertical="center"/>
    </xf>
    <xf numFmtId="0" fontId="23" fillId="5" borderId="6" xfId="0" applyFont="1" applyFill="1" applyBorder="1" applyAlignment="1">
      <alignment horizontal="left" vertical="center"/>
    </xf>
    <xf numFmtId="0" fontId="17" fillId="5" borderId="6" xfId="0" applyFont="1" applyFill="1" applyBorder="1" applyAlignment="1">
      <alignment horizontal="left" vertical="center"/>
    </xf>
    <xf numFmtId="0" fontId="17" fillId="8" borderId="0" xfId="0" applyFont="1" applyFill="1" applyAlignment="1">
      <alignment horizontal="left" vertical="center"/>
    </xf>
    <xf numFmtId="0" fontId="17" fillId="8" borderId="0" xfId="0" applyFont="1" applyFill="1" applyAlignment="1">
      <alignment horizontal="left" vertical="top"/>
    </xf>
    <xf numFmtId="20" fontId="5" fillId="9" borderId="2" xfId="0" applyNumberFormat="1" applyFont="1" applyFill="1" applyBorder="1" applyAlignment="1" applyProtection="1">
      <alignment horizontal="center" vertical="center"/>
      <protection locked="0"/>
    </xf>
    <xf numFmtId="164" fontId="5" fillId="9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right" vertical="center"/>
    </xf>
    <xf numFmtId="164" fontId="7" fillId="2" borderId="26" xfId="0" applyNumberFormat="1" applyFont="1" applyFill="1" applyBorder="1" applyAlignment="1">
      <alignment horizontal="center" vertical="center"/>
    </xf>
    <xf numFmtId="164" fontId="7" fillId="2" borderId="25" xfId="0" applyNumberFormat="1" applyFont="1" applyFill="1" applyBorder="1" applyAlignment="1">
      <alignment horizontal="center" vertical="center"/>
    </xf>
    <xf numFmtId="164" fontId="7" fillId="2" borderId="23" xfId="0" applyNumberFormat="1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45" fontId="18" fillId="3" borderId="13" xfId="0" applyNumberFormat="1" applyFont="1" applyFill="1" applyBorder="1" applyAlignment="1">
      <alignment horizontal="center" vertical="center"/>
    </xf>
    <xf numFmtId="45" fontId="18" fillId="3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4" fontId="34" fillId="9" borderId="2" xfId="0" applyNumberFormat="1" applyFont="1" applyFill="1" applyBorder="1" applyAlignment="1">
      <alignment horizontal="center" vertical="center"/>
    </xf>
    <xf numFmtId="20" fontId="2" fillId="0" borderId="0" xfId="0" applyNumberFormat="1" applyFont="1"/>
    <xf numFmtId="0" fontId="7" fillId="3" borderId="28" xfId="0" applyFont="1" applyFill="1" applyBorder="1" applyAlignment="1">
      <alignment horizontal="center" vertical="center"/>
    </xf>
    <xf numFmtId="0" fontId="33" fillId="3" borderId="29" xfId="0" applyFont="1" applyFill="1" applyBorder="1" applyAlignment="1">
      <alignment horizontal="center" vertical="center"/>
    </xf>
    <xf numFmtId="0" fontId="0" fillId="3" borderId="12" xfId="0" applyFill="1" applyBorder="1"/>
    <xf numFmtId="0" fontId="0" fillId="3" borderId="15" xfId="0" applyFill="1" applyBorder="1"/>
    <xf numFmtId="0" fontId="35" fillId="3" borderId="13" xfId="0" applyFont="1" applyFill="1" applyBorder="1"/>
    <xf numFmtId="0" fontId="35" fillId="3" borderId="6" xfId="0" applyFont="1" applyFill="1" applyBorder="1"/>
    <xf numFmtId="0" fontId="35" fillId="3" borderId="14" xfId="0" applyFont="1" applyFill="1" applyBorder="1"/>
    <xf numFmtId="0" fontId="35" fillId="0" borderId="0" xfId="0" applyFont="1"/>
    <xf numFmtId="4" fontId="6" fillId="3" borderId="0" xfId="0" applyNumberFormat="1" applyFont="1" applyFill="1" applyAlignment="1">
      <alignment horizontal="center" vertical="center"/>
    </xf>
    <xf numFmtId="4" fontId="8" fillId="3" borderId="0" xfId="0" applyNumberFormat="1" applyFont="1" applyFill="1" applyAlignment="1">
      <alignment horizontal="center" vertical="center"/>
    </xf>
    <xf numFmtId="20" fontId="21" fillId="3" borderId="0" xfId="0" applyNumberFormat="1" applyFont="1" applyFill="1" applyAlignment="1">
      <alignment horizontal="center" vertical="center"/>
    </xf>
    <xf numFmtId="164" fontId="2" fillId="0" borderId="10" xfId="0" applyNumberFormat="1" applyFont="1" applyBorder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4" fillId="10" borderId="20" xfId="0" applyNumberFormat="1" applyFont="1" applyFill="1" applyBorder="1" applyAlignment="1">
      <alignment vertical="center"/>
    </xf>
    <xf numFmtId="164" fontId="6" fillId="10" borderId="22" xfId="0" applyNumberFormat="1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32" fillId="3" borderId="30" xfId="0" applyFont="1" applyFill="1" applyBorder="1" applyAlignment="1">
      <alignment horizontal="center"/>
    </xf>
    <xf numFmtId="164" fontId="13" fillId="7" borderId="27" xfId="0" applyNumberFormat="1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164" fontId="13" fillId="7" borderId="31" xfId="0" applyNumberFormat="1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/>
    </xf>
    <xf numFmtId="164" fontId="8" fillId="4" borderId="22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7" fillId="4" borderId="20" xfId="0" applyFont="1" applyFill="1" applyBorder="1" applyAlignment="1">
      <alignment horizontal="right" vertical="center"/>
    </xf>
    <xf numFmtId="0" fontId="36" fillId="10" borderId="21" xfId="0" applyFont="1" applyFill="1" applyBorder="1" applyAlignment="1">
      <alignment horizontal="center" vertical="center"/>
    </xf>
    <xf numFmtId="164" fontId="33" fillId="3" borderId="2" xfId="0" applyNumberFormat="1" applyFont="1" applyFill="1" applyBorder="1" applyAlignment="1">
      <alignment horizontal="center" vertical="center"/>
    </xf>
    <xf numFmtId="21" fontId="33" fillId="11" borderId="2" xfId="0" applyNumberFormat="1" applyFont="1" applyFill="1" applyBorder="1" applyAlignment="1">
      <alignment horizontal="center" vertical="center"/>
    </xf>
    <xf numFmtId="0" fontId="33" fillId="11" borderId="2" xfId="0" applyFont="1" applyFill="1" applyBorder="1" applyAlignment="1">
      <alignment horizontal="center" vertical="center"/>
    </xf>
    <xf numFmtId="0" fontId="38" fillId="3" borderId="12" xfId="0" applyFont="1" applyFill="1" applyBorder="1" applyAlignment="1">
      <alignment vertical="center"/>
    </xf>
    <xf numFmtId="0" fontId="39" fillId="3" borderId="0" xfId="0" applyFont="1" applyFill="1" applyAlignment="1">
      <alignment vertical="center"/>
    </xf>
    <xf numFmtId="0" fontId="40" fillId="3" borderId="15" xfId="0" applyFont="1" applyFill="1" applyBorder="1" applyAlignment="1">
      <alignment vertical="center"/>
    </xf>
    <xf numFmtId="0" fontId="39" fillId="8" borderId="12" xfId="0" applyFont="1" applyFill="1" applyBorder="1" applyAlignment="1">
      <alignment vertical="center"/>
    </xf>
    <xf numFmtId="0" fontId="39" fillId="8" borderId="0" xfId="0" applyFont="1" applyFill="1" applyAlignment="1">
      <alignment vertical="center"/>
    </xf>
    <xf numFmtId="0" fontId="39" fillId="8" borderId="15" xfId="0" applyFont="1" applyFill="1" applyBorder="1" applyAlignment="1">
      <alignment vertical="center"/>
    </xf>
    <xf numFmtId="0" fontId="39" fillId="3" borderId="12" xfId="0" applyFont="1" applyFill="1" applyBorder="1" applyAlignment="1">
      <alignment vertical="center"/>
    </xf>
    <xf numFmtId="0" fontId="39" fillId="3" borderId="15" xfId="0" applyFont="1" applyFill="1" applyBorder="1" applyAlignment="1">
      <alignment vertical="center"/>
    </xf>
    <xf numFmtId="0" fontId="39" fillId="9" borderId="12" xfId="0" applyFont="1" applyFill="1" applyBorder="1" applyAlignment="1">
      <alignment vertical="center"/>
    </xf>
    <xf numFmtId="0" fontId="39" fillId="9" borderId="0" xfId="0" applyFont="1" applyFill="1" applyAlignment="1">
      <alignment vertical="center"/>
    </xf>
    <xf numFmtId="0" fontId="39" fillId="9" borderId="15" xfId="0" applyFont="1" applyFill="1" applyBorder="1" applyAlignment="1">
      <alignment vertical="center"/>
    </xf>
    <xf numFmtId="0" fontId="41" fillId="9" borderId="12" xfId="0" applyFont="1" applyFill="1" applyBorder="1" applyAlignment="1">
      <alignment vertical="center"/>
    </xf>
    <xf numFmtId="0" fontId="41" fillId="9" borderId="0" xfId="0" applyFont="1" applyFill="1" applyAlignment="1">
      <alignment vertical="center"/>
    </xf>
    <xf numFmtId="0" fontId="39" fillId="6" borderId="12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15" xfId="0" applyFont="1" applyFill="1" applyBorder="1" applyAlignment="1">
      <alignment vertical="center"/>
    </xf>
    <xf numFmtId="0" fontId="42" fillId="6" borderId="12" xfId="0" applyFont="1" applyFill="1" applyBorder="1" applyAlignment="1">
      <alignment vertical="center"/>
    </xf>
    <xf numFmtId="0" fontId="43" fillId="6" borderId="0" xfId="0" applyFont="1" applyFill="1" applyAlignment="1">
      <alignment vertical="center"/>
    </xf>
    <xf numFmtId="0" fontId="43" fillId="6" borderId="15" xfId="0" applyFont="1" applyFill="1" applyBorder="1" applyAlignment="1">
      <alignment vertical="center"/>
    </xf>
    <xf numFmtId="0" fontId="42" fillId="3" borderId="12" xfId="0" applyFont="1" applyFill="1" applyBorder="1" applyAlignment="1">
      <alignment vertical="center"/>
    </xf>
    <xf numFmtId="0" fontId="43" fillId="3" borderId="0" xfId="0" applyFont="1" applyFill="1" applyAlignment="1">
      <alignment vertical="center"/>
    </xf>
    <xf numFmtId="0" fontId="43" fillId="3" borderId="15" xfId="0" applyFont="1" applyFill="1" applyBorder="1" applyAlignment="1">
      <alignment vertical="center"/>
    </xf>
    <xf numFmtId="0" fontId="43" fillId="4" borderId="12" xfId="0" applyFont="1" applyFill="1" applyBorder="1" applyAlignment="1">
      <alignment vertical="center"/>
    </xf>
    <xf numFmtId="0" fontId="43" fillId="4" borderId="0" xfId="0" applyFont="1" applyFill="1" applyAlignment="1">
      <alignment vertical="center"/>
    </xf>
    <xf numFmtId="0" fontId="43" fillId="4" borderId="15" xfId="0" applyFont="1" applyFill="1" applyBorder="1" applyAlignment="1">
      <alignment vertical="center"/>
    </xf>
    <xf numFmtId="0" fontId="43" fillId="3" borderId="12" xfId="0" applyFont="1" applyFill="1" applyBorder="1" applyAlignment="1">
      <alignment vertical="center"/>
    </xf>
    <xf numFmtId="0" fontId="45" fillId="9" borderId="0" xfId="0" applyFont="1" applyFill="1" applyAlignment="1">
      <alignment vertical="center"/>
    </xf>
    <xf numFmtId="0" fontId="45" fillId="9" borderId="15" xfId="0" applyFont="1" applyFill="1" applyBorder="1" applyAlignment="1">
      <alignment vertical="center"/>
    </xf>
    <xf numFmtId="0" fontId="45" fillId="3" borderId="0" xfId="0" applyFont="1" applyFill="1" applyAlignment="1">
      <alignment vertical="center"/>
    </xf>
    <xf numFmtId="0" fontId="45" fillId="3" borderId="15" xfId="0" applyFont="1" applyFill="1" applyBorder="1" applyAlignment="1">
      <alignment vertical="center"/>
    </xf>
    <xf numFmtId="0" fontId="39" fillId="3" borderId="11" xfId="0" applyFont="1" applyFill="1" applyBorder="1" applyAlignment="1">
      <alignment vertical="center"/>
    </xf>
    <xf numFmtId="0" fontId="45" fillId="3" borderId="10" xfId="0" applyFont="1" applyFill="1" applyBorder="1" applyAlignment="1">
      <alignment vertical="center"/>
    </xf>
    <xf numFmtId="0" fontId="45" fillId="3" borderId="19" xfId="0" applyFont="1" applyFill="1" applyBorder="1" applyAlignment="1">
      <alignment vertical="center"/>
    </xf>
    <xf numFmtId="0" fontId="17" fillId="8" borderId="0" xfId="0" applyFont="1" applyFill="1" applyAlignment="1" applyProtection="1">
      <alignment horizontal="left" vertical="center"/>
    </xf>
    <xf numFmtId="0" fontId="17" fillId="5" borderId="6" xfId="0" applyFont="1" applyFill="1" applyBorder="1" applyAlignment="1" applyProtection="1">
      <alignment horizontal="left" vertical="center"/>
    </xf>
    <xf numFmtId="0" fontId="23" fillId="5" borderId="6" xfId="0" applyFont="1" applyFill="1" applyBorder="1" applyAlignment="1" applyProtection="1">
      <alignment horizontal="left" vertical="center"/>
    </xf>
    <xf numFmtId="0" fontId="23" fillId="8" borderId="0" xfId="0" applyFont="1" applyFill="1" applyAlignment="1" applyProtection="1">
      <alignment horizontal="right" vertical="center"/>
    </xf>
    <xf numFmtId="0" fontId="17" fillId="8" borderId="0" xfId="0" applyFont="1" applyFill="1" applyAlignment="1" applyProtection="1">
      <alignment horizontal="left" vertical="top"/>
    </xf>
    <xf numFmtId="45" fontId="18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</cellXfs>
  <cellStyles count="3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9928-975A-9848-A76E-E7047281F838}">
  <sheetPr codeName="Feuil1">
    <tabColor theme="9" tint="0.59999389629810485"/>
    <pageSetUpPr fitToPage="1"/>
  </sheetPr>
  <dimension ref="A1:K33"/>
  <sheetViews>
    <sheetView zoomScale="75" zoomScaleNormal="75" workbookViewId="0">
      <selection activeCell="A2" sqref="A2"/>
    </sheetView>
  </sheetViews>
  <sheetFormatPr baseColWidth="10" defaultRowHeight="12"/>
  <cols>
    <col min="11" max="11" width="20.5" customWidth="1"/>
  </cols>
  <sheetData>
    <row r="1" spans="1:11" s="77" customFormat="1" ht="20" customHeight="1">
      <c r="A1" s="74" t="s">
        <v>53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 ht="12" customHeight="1">
      <c r="A2" s="72"/>
      <c r="B2" s="9"/>
      <c r="C2" s="9"/>
      <c r="D2" s="9"/>
      <c r="E2" s="9"/>
      <c r="F2" s="9"/>
      <c r="G2" s="9"/>
      <c r="H2" s="9"/>
      <c r="I2" s="9"/>
      <c r="J2" s="9"/>
      <c r="K2" s="73"/>
    </row>
    <row r="3" spans="1:11" ht="25">
      <c r="A3" s="47" t="s">
        <v>27</v>
      </c>
      <c r="B3" s="48"/>
      <c r="C3" s="48"/>
      <c r="D3" s="48"/>
      <c r="E3" s="49"/>
      <c r="F3" s="49"/>
      <c r="G3" s="49"/>
      <c r="H3" s="49"/>
      <c r="I3" s="49"/>
      <c r="J3" s="49"/>
      <c r="K3" s="50"/>
    </row>
    <row r="4" spans="1:11" ht="23" customHeight="1">
      <c r="A4" s="103" t="s">
        <v>26</v>
      </c>
      <c r="B4" s="104"/>
      <c r="C4" s="104"/>
      <c r="D4" s="104"/>
      <c r="E4" s="104"/>
      <c r="F4" s="104"/>
      <c r="G4" s="104"/>
      <c r="H4" s="104"/>
      <c r="I4" s="104"/>
      <c r="J4" s="104"/>
      <c r="K4" s="105"/>
    </row>
    <row r="5" spans="1:11" ht="23" customHeight="1">
      <c r="A5" s="103"/>
      <c r="B5" s="104"/>
      <c r="C5" s="104"/>
      <c r="D5" s="104"/>
      <c r="E5" s="104"/>
      <c r="F5" s="104"/>
      <c r="G5" s="104"/>
      <c r="H5" s="104"/>
      <c r="I5" s="104"/>
      <c r="J5" s="104"/>
      <c r="K5" s="105"/>
    </row>
    <row r="6" spans="1:11" ht="23" customHeight="1">
      <c r="A6" s="106" t="s">
        <v>13</v>
      </c>
      <c r="B6" s="107"/>
      <c r="C6" s="107"/>
      <c r="D6" s="107"/>
      <c r="E6" s="107"/>
      <c r="F6" s="107"/>
      <c r="G6" s="107"/>
      <c r="H6" s="107"/>
      <c r="I6" s="107"/>
      <c r="J6" s="107"/>
      <c r="K6" s="108"/>
    </row>
    <row r="7" spans="1:11" ht="23" customHeight="1">
      <c r="A7" s="106" t="s">
        <v>44</v>
      </c>
      <c r="B7" s="107"/>
      <c r="C7" s="107"/>
      <c r="D7" s="107"/>
      <c r="E7" s="107"/>
      <c r="F7" s="107"/>
      <c r="G7" s="107"/>
      <c r="H7" s="107"/>
      <c r="I7" s="107"/>
      <c r="J7" s="107"/>
      <c r="K7" s="108"/>
    </row>
    <row r="8" spans="1:11" ht="23" customHeight="1">
      <c r="A8" s="106" t="s">
        <v>25</v>
      </c>
      <c r="B8" s="107"/>
      <c r="C8" s="107"/>
      <c r="D8" s="107"/>
      <c r="E8" s="107"/>
      <c r="F8" s="107"/>
      <c r="G8" s="107"/>
      <c r="H8" s="107"/>
      <c r="I8" s="107"/>
      <c r="J8" s="107"/>
      <c r="K8" s="108"/>
    </row>
    <row r="9" spans="1:11" ht="23" customHeight="1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8"/>
    </row>
    <row r="10" spans="1:11" ht="23" customHeight="1">
      <c r="A10" s="106" t="s">
        <v>37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8"/>
    </row>
    <row r="11" spans="1:11" ht="23" customHeight="1">
      <c r="A11" s="109"/>
      <c r="B11" s="104"/>
      <c r="C11" s="104"/>
      <c r="D11" s="104"/>
      <c r="E11" s="104"/>
      <c r="F11" s="104"/>
      <c r="G11" s="104"/>
      <c r="H11" s="104"/>
      <c r="I11" s="104"/>
      <c r="J11" s="104"/>
      <c r="K11" s="110"/>
    </row>
    <row r="12" spans="1:11" ht="23" customHeight="1">
      <c r="A12" s="111" t="s">
        <v>22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3"/>
    </row>
    <row r="13" spans="1:11" ht="23" customHeight="1">
      <c r="A13" s="114" t="s">
        <v>23</v>
      </c>
      <c r="B13" s="115"/>
      <c r="C13" s="115"/>
      <c r="D13" s="115"/>
      <c r="E13" s="115"/>
      <c r="F13" s="115"/>
      <c r="G13" s="115"/>
      <c r="H13" s="115"/>
      <c r="I13" s="112"/>
      <c r="J13" s="112"/>
      <c r="K13" s="113"/>
    </row>
    <row r="14" spans="1:11" ht="23" customHeight="1">
      <c r="A14" s="111" t="s">
        <v>18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3"/>
    </row>
    <row r="15" spans="1:11" ht="23" customHeight="1">
      <c r="A15" s="111" t="s">
        <v>24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3"/>
    </row>
    <row r="16" spans="1:11" ht="23" customHeight="1">
      <c r="A16" s="111"/>
      <c r="B16" s="112"/>
      <c r="C16" s="112"/>
      <c r="D16" s="112"/>
      <c r="E16" s="112"/>
      <c r="F16" s="112"/>
      <c r="G16" s="112"/>
      <c r="H16" s="112"/>
      <c r="I16" s="112"/>
      <c r="J16" s="112"/>
      <c r="K16" s="113"/>
    </row>
    <row r="17" spans="1:11" ht="23" customHeight="1">
      <c r="A17" s="111" t="s">
        <v>45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3"/>
    </row>
    <row r="18" spans="1:11" ht="23" customHeight="1">
      <c r="A18" s="111" t="s">
        <v>33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3"/>
    </row>
    <row r="19" spans="1:11" ht="23" customHeight="1">
      <c r="A19" s="111" t="s">
        <v>34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3"/>
    </row>
    <row r="20" spans="1:11" s="9" customFormat="1" ht="23" customHeight="1">
      <c r="A20" s="109"/>
      <c r="B20" s="104"/>
      <c r="C20" s="104"/>
      <c r="D20" s="104"/>
      <c r="E20" s="104"/>
      <c r="F20" s="104"/>
      <c r="G20" s="104"/>
      <c r="H20" s="104"/>
      <c r="I20" s="104"/>
      <c r="J20" s="104"/>
      <c r="K20" s="110"/>
    </row>
    <row r="21" spans="1:11" s="11" customFormat="1" ht="23" customHeight="1">
      <c r="A21" s="116" t="s">
        <v>19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8"/>
    </row>
    <row r="22" spans="1:11" s="11" customFormat="1" ht="23" customHeight="1">
      <c r="A22" s="119" t="s">
        <v>20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1"/>
    </row>
    <row r="23" spans="1:11" s="11" customFormat="1" ht="23" customHeight="1">
      <c r="A23" s="119" t="s">
        <v>39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1"/>
    </row>
    <row r="24" spans="1:11" s="11" customFormat="1" ht="23" customHeight="1">
      <c r="A24" s="119" t="s">
        <v>46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1"/>
    </row>
    <row r="25" spans="1:11" s="11" customFormat="1" ht="23" customHeight="1">
      <c r="A25" s="119" t="s">
        <v>47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1"/>
    </row>
    <row r="26" spans="1:11" s="10" customFormat="1" ht="23" customHeight="1">
      <c r="A26" s="122"/>
      <c r="B26" s="123"/>
      <c r="C26" s="123"/>
      <c r="D26" s="123"/>
      <c r="E26" s="123"/>
      <c r="F26" s="123"/>
      <c r="G26" s="123"/>
      <c r="H26" s="123"/>
      <c r="I26" s="123"/>
      <c r="J26" s="123"/>
      <c r="K26" s="124"/>
    </row>
    <row r="27" spans="1:11" ht="23" customHeight="1">
      <c r="A27" s="125" t="s">
        <v>49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7"/>
    </row>
    <row r="28" spans="1:11" s="12" customFormat="1" ht="23" customHeight="1">
      <c r="A28" s="125" t="s">
        <v>21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7"/>
    </row>
    <row r="29" spans="1:11" s="12" customFormat="1" ht="23" customHeight="1">
      <c r="A29" s="128"/>
      <c r="B29" s="123"/>
      <c r="C29" s="123"/>
      <c r="D29" s="123"/>
      <c r="E29" s="123"/>
      <c r="F29" s="123"/>
      <c r="G29" s="123"/>
      <c r="H29" s="123"/>
      <c r="I29" s="123"/>
      <c r="J29" s="123"/>
      <c r="K29" s="124"/>
    </row>
    <row r="30" spans="1:11" s="12" customFormat="1" ht="23" customHeight="1">
      <c r="A30" s="111" t="s">
        <v>28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30"/>
    </row>
    <row r="31" spans="1:11" ht="23" customHeight="1">
      <c r="A31" s="111" t="s">
        <v>29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30"/>
    </row>
    <row r="32" spans="1:11" s="9" customFormat="1" ht="23" customHeight="1">
      <c r="A32" s="109"/>
      <c r="B32" s="131"/>
      <c r="C32" s="131"/>
      <c r="D32" s="131"/>
      <c r="E32" s="131"/>
      <c r="F32" s="131"/>
      <c r="G32" s="131"/>
      <c r="H32" s="131"/>
      <c r="I32" s="131"/>
      <c r="J32" s="131"/>
      <c r="K32" s="132"/>
    </row>
    <row r="33" spans="1:11" ht="23" customHeight="1">
      <c r="A33" s="133" t="s">
        <v>30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5"/>
    </row>
  </sheetData>
  <sheetProtection sheet="1" selectLockedCells="1"/>
  <pageMargins left="0.7" right="0.7" top="0.75" bottom="0.75" header="0.3" footer="0.3"/>
  <pageSetup paperSize="9" scale="76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528AB-34A3-EB4C-BE26-739E0849CDB9}">
  <sheetPr codeName="Feuil3">
    <tabColor rgb="FF00B0F0"/>
    <pageSetUpPr fitToPage="1"/>
  </sheetPr>
  <dimension ref="A1:I38"/>
  <sheetViews>
    <sheetView tabSelected="1" zoomScale="75" zoomScaleNormal="75" workbookViewId="0">
      <selection activeCell="C5" sqref="C5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9" ht="24" customHeight="1">
      <c r="A1" s="25" t="s">
        <v>6</v>
      </c>
      <c r="B1" s="22" t="s">
        <v>50</v>
      </c>
      <c r="C1" s="51"/>
      <c r="D1" s="26" t="s">
        <v>52</v>
      </c>
      <c r="E1" s="6" t="s">
        <v>4</v>
      </c>
      <c r="F1" s="22" t="s">
        <v>15</v>
      </c>
      <c r="G1" s="52"/>
      <c r="H1" s="27"/>
    </row>
    <row r="2" spans="1:9" ht="20" customHeight="1">
      <c r="A2" s="28" t="s">
        <v>7</v>
      </c>
      <c r="B2" s="23" t="s">
        <v>51</v>
      </c>
      <c r="C2" s="30" t="s">
        <v>35</v>
      </c>
      <c r="D2" s="29">
        <f>DATE(2023,8,7)</f>
        <v>43683</v>
      </c>
      <c r="E2" s="30" t="s">
        <v>5</v>
      </c>
      <c r="F2" s="23" t="s">
        <v>17</v>
      </c>
      <c r="G2" s="53"/>
      <c r="H2" s="31"/>
    </row>
    <row r="3" spans="1:9" ht="20" customHeight="1" thickBot="1">
      <c r="A3" s="28"/>
      <c r="B3" s="53"/>
      <c r="C3" s="30" t="s">
        <v>36</v>
      </c>
      <c r="D3" s="32">
        <f>DATE(2023,8,11)</f>
        <v>43687</v>
      </c>
      <c r="E3" s="7"/>
      <c r="F3" s="54"/>
      <c r="G3" s="54"/>
      <c r="H3" s="33"/>
    </row>
    <row r="4" spans="1:9" ht="50" customHeight="1">
      <c r="A4" s="13" t="s">
        <v>0</v>
      </c>
      <c r="B4" s="5" t="s">
        <v>16</v>
      </c>
      <c r="C4" s="5" t="s">
        <v>48</v>
      </c>
      <c r="D4" s="5" t="s">
        <v>9</v>
      </c>
      <c r="E4" s="5" t="s">
        <v>38</v>
      </c>
      <c r="F4" s="5" t="s">
        <v>3</v>
      </c>
      <c r="G4" s="14" t="s">
        <v>10</v>
      </c>
      <c r="H4" s="15" t="s">
        <v>12</v>
      </c>
    </row>
    <row r="5" spans="1:9" s="3" customFormat="1" ht="23" customHeight="1">
      <c r="A5" s="34" t="str">
        <f>CHOOSE(WEEKDAY(A6,2),"LUNDI","MARDI","MERCREDI","JEUDI","VENDREDI","SAMEDI","DIMANCHE")</f>
        <v>LUNDI</v>
      </c>
      <c r="B5" s="8" t="str">
        <f>IF(OR(C5&lt;&gt;0, C6 &lt;&gt;0), IF(MOD(C6-C5, 1) &lt; 0.041, "(pause réduite)", ""), "")</f>
        <v/>
      </c>
      <c r="C5" s="55">
        <v>0</v>
      </c>
      <c r="D5" s="35">
        <v>0</v>
      </c>
      <c r="E5" s="8">
        <f>IF(D5= "",0/24,((MOD(D6-D5,1))-MOD(C6-C5,1)))</f>
        <v>0</v>
      </c>
      <c r="F5" s="8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8">
        <v>0</v>
      </c>
      <c r="H5" s="56">
        <v>0</v>
      </c>
    </row>
    <row r="6" spans="1:9" ht="17" customHeight="1">
      <c r="A6" s="36">
        <f>D2</f>
        <v>43683</v>
      </c>
      <c r="B6" s="101" t="str">
        <f>IF(E6=0 / 24, "","(journée continue)")</f>
        <v/>
      </c>
      <c r="C6" s="55">
        <v>0</v>
      </c>
      <c r="D6" s="35">
        <v>0</v>
      </c>
      <c r="E6" s="68">
        <f>SUM(D7,E7)</f>
        <v>0</v>
      </c>
      <c r="F6" s="8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16"/>
      <c r="H6" s="17"/>
    </row>
    <row r="7" spans="1:9" ht="17" customHeight="1">
      <c r="A7" s="37">
        <f>IF(A6 = "", Deb, IF(A6&gt;DATE(YEAR(A6),3,31),IF(A6&lt;DATE(YEAR(A6),10,1),22/24,20/24),20/24))</f>
        <v>0.91666666666666663</v>
      </c>
      <c r="B7" s="100" t="str">
        <f>IF(A6 &lt;&gt; "", IF(A5="DIMANCHE", "(majoration dimanche)", ""), "")</f>
        <v/>
      </c>
      <c r="C7" s="38">
        <f>IF(C6 = C5, (MOD(D6-D5,1)),0)</f>
        <v>0</v>
      </c>
      <c r="D7" s="39">
        <f>IF(C5=0 / 24,0,IF((MOD(C5-D5,1))&lt;6 / 24,0,0.5 / 24))</f>
        <v>0</v>
      </c>
      <c r="E7" s="18">
        <f>IF(C7&gt;=(6/24),0.5 / 24,(IF(C5 = C6, IF(MOD(D6-D5, 1) &lt;6/24, 0, 0.5/24), IF((MOD(D6-C6,1))&lt;6/24,0,0.5/24))))</f>
        <v>0</v>
      </c>
      <c r="F7" s="63" t="str">
        <f>IF(OR(F6=" ", F6=0)," ","(minoration repas nuit)")</f>
        <v xml:space="preserve"> </v>
      </c>
      <c r="G7" s="19"/>
      <c r="H7" s="20">
        <f>IF((E5+E6)&lt;10/24,0/24,(E5+E6)-10/24)</f>
        <v>0</v>
      </c>
    </row>
    <row r="8" spans="1:9" ht="17" customHeight="1">
      <c r="A8" s="34" t="str">
        <f>CHOOSE(WEEKDAY(A6+1,2),"LUNDI","MARDI","MERCREDI","JEUDI","VENDREDI","SAMEDI","DIMANCHE")</f>
        <v>MARDI</v>
      </c>
      <c r="B8" s="40" t="str">
        <f>IF(OR(C8&lt;&gt;0, C9 &lt;&gt;0), IF(MOD(C9-C8, 1) &lt; 0.041, "(pause réduite)", ""), "")</f>
        <v/>
      </c>
      <c r="C8" s="55">
        <v>0</v>
      </c>
      <c r="D8" s="35">
        <v>0</v>
      </c>
      <c r="E8" s="8">
        <f>IF(D8= "",0/24,((MOD(D9-D8,1))-MOD(C9-C8,1)))</f>
        <v>0</v>
      </c>
      <c r="F8" s="8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8">
        <f>IF(AND(D5=0, D6=0), 0/24, (IF(D8=0/24,0/24,IF((MOD(D8-D6,1))&gt;=11/24,0/24,11/24-(MOD(D8-D6,1))))))</f>
        <v>0</v>
      </c>
      <c r="H8" s="56">
        <v>0</v>
      </c>
      <c r="I8" s="43"/>
    </row>
    <row r="9" spans="1:9" ht="17" customHeight="1">
      <c r="A9" s="36">
        <f>IF(AND(DATE(YEAR(D2),MONTH(D2),DAY(D2))&lt;DATE(YEAR(D3),MONTH(D3),DAY(D3)), A6&lt;&gt;""),DATE(YEAR(D2),MONTH(D2),DAY(D2)+1),"")</f>
        <v>43684</v>
      </c>
      <c r="B9" s="102" t="str">
        <f>IF(E9=0 / 24, "","(journée continue)")</f>
        <v/>
      </c>
      <c r="C9" s="55">
        <v>0</v>
      </c>
      <c r="D9" s="41">
        <v>0</v>
      </c>
      <c r="E9" s="68">
        <f>SUM(D10,E10)</f>
        <v>0</v>
      </c>
      <c r="F9" s="8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16"/>
      <c r="H9" s="17"/>
    </row>
    <row r="10" spans="1:9" ht="17" customHeight="1">
      <c r="A10" s="37">
        <f>IF(A9 = "", Deb, IF(A9&gt;DATE(YEAR(A9),3,31),IF(A9&lt;DATE(YEAR(A9),10,1),22/24,20/24),20/24))</f>
        <v>0.91666666666666663</v>
      </c>
      <c r="B10" s="100" t="str">
        <f>IF(A9 &lt;&gt; "", IF(A8="DIMANCHE", "(majoration dimanche)", ""), "")</f>
        <v/>
      </c>
      <c r="C10" s="38">
        <f>IF(C9 = C8, (MOD(D9-D8,1)),0)</f>
        <v>0</v>
      </c>
      <c r="D10" s="39">
        <f>IF(C8=0 / 24,0,IF((MOD(C8-D8,1))&lt;6 / 24,0,0.5 / 24))</f>
        <v>0</v>
      </c>
      <c r="E10" s="38">
        <f>IF(C10&gt;=(6/24),0.5 / 24,(IF(C8 = C9, IF(MOD(D9-D8, 1) &lt;6/24, 0, 0.5/24), IF((MOD(D9-C9,1))&lt;6/24,0,0.5/24))))</f>
        <v>0</v>
      </c>
      <c r="F10" s="63" t="str">
        <f>IF(F9=" "," ","(minoration repas nuit)")</f>
        <v xml:space="preserve"> </v>
      </c>
      <c r="G10" s="19"/>
      <c r="H10" s="20">
        <f>IF((E8+E9)&lt;10/24,0/24,(E8+E9)-10/24)</f>
        <v>0</v>
      </c>
    </row>
    <row r="11" spans="1:9" ht="17" customHeight="1">
      <c r="A11" s="34" t="str">
        <f>CHOOSE(WEEKDAY(A6+2,2),"LUNDI","MARDI","MERCREDI","JEUDI","VENDREDI","SAMEDI","DIMANCHE")</f>
        <v>MERCREDI</v>
      </c>
      <c r="B11" s="40" t="str">
        <f>IF(OR(C11&lt;&gt;0, C12 &lt;&gt;0), IF(MOD(C12-C11, 1) &lt; 0.041, "(pause réduite)", ""), "")</f>
        <v/>
      </c>
      <c r="C11" s="55">
        <v>0</v>
      </c>
      <c r="D11" s="35">
        <v>0</v>
      </c>
      <c r="E11" s="8">
        <f>IF(D11= "",0/24,((MOD(D12-D11,1))-MOD(C12-C11,1)))</f>
        <v>0</v>
      </c>
      <c r="F11" s="8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42">
        <f>IF(AND(D8=0, D9=0), 0/24, (IF(D11=0/24,0/24,IF((MOD(D11-D9,1))&gt;=11/24,0/24,11/24-(MOD(D11-D9,1))))))</f>
        <v>0</v>
      </c>
      <c r="H11" s="56">
        <v>0</v>
      </c>
    </row>
    <row r="12" spans="1:9" ht="17" customHeight="1">
      <c r="A12" s="36">
        <f>IF(AND(DATE(YEAR(A9),MONTH(A9),DAY(A9))&lt;DATE(YEAR(D3),MONTH(D3),DAY(D3)), A9&lt;&gt;""),DATE(YEAR(D2),MONTH(D2),DAY(D2)+2), "")</f>
        <v>43685</v>
      </c>
      <c r="B12" s="102" t="str">
        <f>IF(E12=0 / 24, "","(journée continue)")</f>
        <v/>
      </c>
      <c r="C12" s="55">
        <v>0</v>
      </c>
      <c r="D12" s="41">
        <v>0</v>
      </c>
      <c r="E12" s="68">
        <f>SUM(D13,E13)</f>
        <v>0</v>
      </c>
      <c r="F12" s="8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8"/>
      <c r="H12" s="17"/>
    </row>
    <row r="13" spans="1:9" ht="17" customHeight="1">
      <c r="A13" s="37">
        <f>IF(A12 = "", Deb, IF(A12&gt;DATE(YEAR(A12),3,31),IF(A12&lt;DATE(YEAR(A12),10,1),22/24,20/24),20/24))</f>
        <v>0.91666666666666663</v>
      </c>
      <c r="B13" s="63" t="str">
        <f>IF(A12 &lt;&gt; "", IF(A11="DIMANCHE", "(majoration dimanche)", ""), "")</f>
        <v/>
      </c>
      <c r="C13" s="38">
        <f>IF(C12 = C11, (MOD(D12-D11,1)),0)</f>
        <v>0</v>
      </c>
      <c r="D13" s="39">
        <f>IF(C11=0 / 24,0,IF((MOD(C11-D11,1))&lt;6 / 24,0,0.5 / 24))</f>
        <v>0</v>
      </c>
      <c r="E13" s="18">
        <f>IF(C13&gt;=(6/24),0.5 / 24,(IF(C11 = C12, IF(MOD(D12-D11, 1) &lt;6/24, 0, 0.5/24), IF((MOD(D12-C12,1))&lt;6/24,0,0.5/24))))</f>
        <v>0</v>
      </c>
      <c r="F13" s="63" t="str">
        <f>IF(F12=" "," ","(minoration repas nuit)")</f>
        <v xml:space="preserve"> </v>
      </c>
      <c r="G13" s="19"/>
      <c r="H13" s="20">
        <f>IF((E11+E12)&lt;10/24,0/24,(E11+E12)-10/24)</f>
        <v>0</v>
      </c>
    </row>
    <row r="14" spans="1:9" ht="17" customHeight="1">
      <c r="A14" s="34" t="str">
        <f>CHOOSE(WEEKDAY(A6+3,2),"LUNDI","MARDI","MERCREDI","JEUDI","VENDREDI","SAMEDI","DIMANCHE")</f>
        <v>JEUDI</v>
      </c>
      <c r="B14" s="40" t="str">
        <f>IF(OR(C14&lt;&gt;0, C15 &lt;&gt;0), IF(MOD(C15-C14, 1) &lt; 0.041, "(pause réduite)", ""), "")</f>
        <v/>
      </c>
      <c r="C14" s="55">
        <v>0</v>
      </c>
      <c r="D14" s="35">
        <v>0</v>
      </c>
      <c r="E14" s="8">
        <f>IF(D14= "",0/24,((MOD(D15-D14,1))-MOD(C15-C14,1)))</f>
        <v>0</v>
      </c>
      <c r="F14" s="8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8">
        <f>IF(AND(D11=0, D12=0), 0/24, (IF(D14=0/24,0/24,IF((MOD(D14-D12,1))&gt;= 11/24, 0/24, (11/24- (MOD(D14-D12,1)))))))</f>
        <v>0</v>
      </c>
      <c r="H14" s="56">
        <v>0</v>
      </c>
    </row>
    <row r="15" spans="1:9" ht="17" customHeight="1">
      <c r="A15" s="36">
        <f>IF(A12&lt;&gt; "", (IF(DATE(YEAR(A12),MONTH(A12),DAY(A12))&lt;DATE(YEAR(D3),MONTH(D3),DAY(D3)),DATE(YEAR(D2),MONTH(D2),(DAY(D2)+3)), "")), "")</f>
        <v>43686</v>
      </c>
      <c r="B15" s="102" t="str">
        <f>IF(E15=0 / 24, "","(journée continue)")</f>
        <v/>
      </c>
      <c r="C15" s="55">
        <v>0</v>
      </c>
      <c r="D15" s="41">
        <v>0</v>
      </c>
      <c r="E15" s="68">
        <f>SUM(D16,E16)</f>
        <v>0</v>
      </c>
      <c r="F15" s="8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16"/>
      <c r="H15" s="17"/>
    </row>
    <row r="16" spans="1:9" ht="17" customHeight="1">
      <c r="A16" s="37">
        <f>IF(A15 = "", Deb, IF(A15&gt;DATE(YEAR(A15),3,31),IF(A15&lt;DATE(YEAR(A15),10,1),22/24,20/24),20/24))</f>
        <v>0.91666666666666663</v>
      </c>
      <c r="B16" s="63" t="str">
        <f>IF(A15 &lt;&gt; "", IF(A14="DIMANCHE", "(majoration dimanche)", ""), "")</f>
        <v/>
      </c>
      <c r="C16" s="38">
        <f>IF(C14 = C15, (MOD(D15-D14,1)),0)</f>
        <v>0</v>
      </c>
      <c r="D16" s="39">
        <f>IF(C14=0 / 24,0,IF((MOD(C14-D14,1))&lt;6 / 24,0,0.5 / 24))</f>
        <v>0</v>
      </c>
      <c r="E16" s="18">
        <f>IF(C16&gt;=(6/24),0.5 / 24,(IF(C15 = C14, IF(MOD(D15-D14, 1) &lt;6/24, 0, 0.5/24), IF((MOD(D15-C15,1))&lt;6/24,0,0.5/24))))</f>
        <v>0</v>
      </c>
      <c r="F16" s="63" t="str">
        <f>IF(F15=" "," ","(minoration repas nuit)")</f>
        <v xml:space="preserve"> </v>
      </c>
      <c r="G16" s="19"/>
      <c r="H16" s="20">
        <f>IF((E14+E15)&lt;10/24,0/24,(E14+E15)-10/24)</f>
        <v>0</v>
      </c>
      <c r="I16" s="69"/>
    </row>
    <row r="17" spans="1:9" ht="17" customHeight="1">
      <c r="A17" s="34" t="str">
        <f>CHOOSE(WEEKDAY(A6+4,2),"LUNDI","MARDI","MERCREDI","JEUDI","VENDREDI","SAMEDI","DIMANCHE")</f>
        <v>VENDREDI</v>
      </c>
      <c r="B17" s="40" t="str">
        <f>IF(OR(C17&lt;&gt;0, C18 &lt;&gt;0), IF(MOD(C18-C17, 1) &lt; 0.041, "(pause réduite)", ""), "")</f>
        <v/>
      </c>
      <c r="C17" s="55">
        <v>0</v>
      </c>
      <c r="D17" s="35">
        <v>0</v>
      </c>
      <c r="E17" s="8">
        <f>IF(D17="",0/24,((MOD(D18-D17,1))-MOD(C18-C17,1)))</f>
        <v>0</v>
      </c>
      <c r="F17" s="8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8">
        <f>IF(AND(D14=0, D15=0), 0/24,(IF(D17=0/24,0/24,IF((MOD(D17-D15,1))&gt;= 11/24,0/24,11/24-(MOD(D17-D15,1))))))</f>
        <v>0</v>
      </c>
      <c r="H17" s="56">
        <v>0</v>
      </c>
      <c r="I17" s="69"/>
    </row>
    <row r="18" spans="1:9" ht="17" customHeight="1">
      <c r="A18" s="36">
        <f>IF(A15&lt;&gt; "", (IF(DATE(YEAR(A15),MONTH(A15),DAY(A15))&lt;DATE(YEAR(D3),MONTH(D3),DAY(D3)),DATE(YEAR(D2),MONTH(D2),(DAY(D2)+4)), "")), "")</f>
        <v>43687</v>
      </c>
      <c r="B18" s="102" t="str">
        <f>IF(E18=0 / 24, "","(journée continue)")</f>
        <v/>
      </c>
      <c r="C18" s="55">
        <v>0</v>
      </c>
      <c r="D18" s="41">
        <v>0</v>
      </c>
      <c r="E18" s="68">
        <f>SUM(D19,E19)</f>
        <v>0</v>
      </c>
      <c r="F18" s="8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16"/>
      <c r="H18" s="17"/>
      <c r="I18" s="43"/>
    </row>
    <row r="19" spans="1:9" ht="17" customHeight="1">
      <c r="A19" s="37">
        <f>IF(A18 = "", Deb, IF(A18&gt;DATE(YEAR(A18),3,31),IF(A18&lt;DATE(YEAR(A18),10,1),22/24,20/24),20/24))</f>
        <v>0.91666666666666663</v>
      </c>
      <c r="B19" s="63" t="str">
        <f>IF(A18 &lt;&gt; "", IF(A17="DIMANCHE", "(majoration dimanche)", ""), "")</f>
        <v/>
      </c>
      <c r="C19" s="38">
        <f>IF(C17 = C18, (MOD(D18-D17,1)),0)</f>
        <v>0</v>
      </c>
      <c r="D19" s="39">
        <f>IF(C17=0 / 24,0,IF((MOD(C17-D17,1))&lt;6 / 24,0,0.5 / 24))</f>
        <v>0</v>
      </c>
      <c r="E19" s="18">
        <f>IF(C19&gt;=(6/24),0.5 / 24,(IF(C17 = C18, IF(MOD(D18-D17, 1) &lt;6/24, 0, 0.5/24), IF((MOD(D18-C18,1))&lt;6/24,0,0.5/24))))</f>
        <v>0</v>
      </c>
      <c r="F19" s="63" t="str">
        <f>IF(F18=" "," ","(minoration repas nuit)")</f>
        <v xml:space="preserve"> </v>
      </c>
      <c r="G19" s="19"/>
      <c r="H19" s="20">
        <f>IF((E17+E18)&lt;10/24,0/24,(E17+E18)-10/24)</f>
        <v>0</v>
      </c>
    </row>
    <row r="20" spans="1:9" ht="17" customHeight="1">
      <c r="A20" s="34" t="str">
        <f>CHOOSE(WEEKDAY(A6+5,2),"LUNDI","MARDI","MERCREDI","JEUDI","VENDREDI","SAMEDI","DIMANCHE")</f>
        <v>SAMEDI</v>
      </c>
      <c r="B20" s="40" t="str">
        <f>IF(OR(C20&lt;&gt;0, C21 &lt;&gt;0), IF(MOD(C21-C20, 1) &lt; 0.041, "(pause réduite)", ""), "")</f>
        <v/>
      </c>
      <c r="C20" s="55">
        <v>0</v>
      </c>
      <c r="D20" s="35">
        <v>0</v>
      </c>
      <c r="E20" s="8">
        <f>IF(D20= "",0/24,((MOD(D21-D20,1))-MOD(C21-C20,1)))</f>
        <v>0</v>
      </c>
      <c r="F20" s="8">
        <f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8">
        <f>IF(AND(D17=0, D18=0),0/24, (IF(D20=0/24,0/24,IF((MOD(D20-D18,1))&gt;= 11/24,0/24,11/24-(MOD(D20-D18,1))))))</f>
        <v>0</v>
      </c>
      <c r="H20" s="56">
        <v>0</v>
      </c>
    </row>
    <row r="21" spans="1:9" ht="17" customHeight="1">
      <c r="A21" s="36" t="str">
        <f>IF(A18&lt;&gt; "", (IF(DATE(YEAR(A18),MONTH(A18),DAY(A18))&lt;DATE(YEAR(D3),MONTH(D3),DAY(D3)),DATE(YEAR(D2),MONTH(D2),(DAY(D2)+5)), "")), "")</f>
        <v/>
      </c>
      <c r="B21" s="102" t="str">
        <f>IF(E21=0 / 24, "","(journée continue)")</f>
        <v/>
      </c>
      <c r="C21" s="55">
        <v>0</v>
      </c>
      <c r="D21" s="41">
        <v>0</v>
      </c>
      <c r="E21" s="68">
        <f>SUM(D22,E22)</f>
        <v>0</v>
      </c>
      <c r="F21" s="8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16"/>
      <c r="H21" s="21"/>
      <c r="I21" s="69"/>
    </row>
    <row r="22" spans="1:9" ht="17" customHeight="1">
      <c r="A22" s="37">
        <f>IF(A21 = "", Deb, IF(A21&gt;DATE(YEAR(A21),3,31),IF(A21&lt;DATE(YEAR(A21),10,1),22/24,20/24),20/24))</f>
        <v>0.91666666666666663</v>
      </c>
      <c r="B22" s="63" t="str">
        <f>IF(A21&lt;&gt;"",IF(A20="DIMANCHE","(majoration dimanche)",""), "")</f>
        <v/>
      </c>
      <c r="C22" s="38">
        <f>IF(C20 = C21, (MOD(D21-D20,1)),0)</f>
        <v>0</v>
      </c>
      <c r="D22" s="39">
        <f>IF(C20=0 / 24,0,IF((MOD(C20-D20,1))&lt;6 / 24,0,0.5 / 24))</f>
        <v>0</v>
      </c>
      <c r="E22" s="18">
        <f>IF(C22&gt;=(6/24),0.5 / 24,(IF(C21 = C20, IF(MOD(D21-D20, 1) &lt;6/24, 0, 0.5/24), IF((MOD(D21-C21,1))&lt;6/24,0,0.5/24))))</f>
        <v>0</v>
      </c>
      <c r="F22" s="63" t="str">
        <f>IF(F21=" "," ","(minoration repas nuit)")</f>
        <v xml:space="preserve"> </v>
      </c>
      <c r="G22" s="18">
        <f>SUM(H22+H19+H16+H13+H10+H7)</f>
        <v>0</v>
      </c>
      <c r="H22" s="20">
        <f>IF((E20+E21)&lt;10/24,0/24,(E20+E21)-10/24)</f>
        <v>0</v>
      </c>
    </row>
    <row r="23" spans="1:9" ht="17" customHeight="1" thickBot="1">
      <c r="A23" s="62"/>
      <c r="B23" s="63" t="str">
        <f>IF(OR(E5=0/24,E8=0/24,E11=0/24,E14=0/24,E17=0/24, E20=0/24),"","(maj 100% 6ème jour+recup.)")</f>
        <v/>
      </c>
      <c r="C23" s="57"/>
      <c r="D23" s="58" t="s">
        <v>11</v>
      </c>
      <c r="E23" s="59">
        <f>SUM(E5,E8,E11,E14,E17,E20)</f>
        <v>0</v>
      </c>
      <c r="F23" s="59">
        <f>SUM(F5,F6,F8,F9,F11,F12,F14,F15,F17,F18,F20,F21)</f>
        <v>0</v>
      </c>
      <c r="G23" s="60">
        <f>SUM(G5:G21)</f>
        <v>0</v>
      </c>
      <c r="H23" s="61">
        <f>SUM(H21,H20,H18,H17,H15,H14,H12,H11,H9,H8,H6,H5)</f>
        <v>0</v>
      </c>
    </row>
    <row r="24" spans="1:9" ht="17" customHeight="1" thickBot="1">
      <c r="A24" s="64">
        <f>IF(OR(D5=0, D5=""), IF(OR(D6=0, D6=""),  0, 36 / 60), 36/ 60)</f>
        <v>0</v>
      </c>
      <c r="B24" s="65">
        <f>IF(OR(D8=0, D8=""), IF(OR(D9=0, D9=""),  0, 36/60), 36/60)</f>
        <v>0</v>
      </c>
      <c r="C24" s="141">
        <f>IF(OR(D11=0, D11=""), IF(OR(D12=0, D12=""),  0, 36/60), 36/60)</f>
        <v>0</v>
      </c>
      <c r="D24" s="141">
        <f>IF(OR(D14=0, D14=""), IF(OR(D15=0, D15=""),  0, 36/ 60), 36/60)</f>
        <v>0</v>
      </c>
      <c r="E24" s="141">
        <f>IF(OR(D17=0, D17=""), IF(OR(D18=0, D18=""),  0, 36/ 60), 36/60)</f>
        <v>0</v>
      </c>
      <c r="F24" s="141">
        <f>IF(OR(D20=0, D20=""), IF(OR(D21=0, D21=""),  0, 36/60), 36/60)</f>
        <v>0</v>
      </c>
      <c r="G24" s="142"/>
      <c r="H24" s="24"/>
    </row>
    <row r="25" spans="1:9" s="3" customFormat="1" ht="17" thickBot="1">
      <c r="A25" s="82" t="str">
        <f>IF(A27 &lt; 0.9, "(Studio Agréé 21h à 6h)", "Studio de 22h à 6h")</f>
        <v>Studio de 22h à 6h</v>
      </c>
      <c r="B25" s="80">
        <f>IF(F6 &lt;&gt; " ", IF(F5&gt;8 / 24,F6+F5-8 / 24,0 /24),  IF(F5&gt;8 / 24,F5-8 / 24,0 /24))</f>
        <v>0</v>
      </c>
      <c r="C25" s="86" t="s">
        <v>40</v>
      </c>
      <c r="D25" s="143" t="s">
        <v>43</v>
      </c>
      <c r="E25" s="87">
        <f>-IF(AND(A24=0.6, B24 = 0.6, C24=0.6, D24=0.6, E24 = 0.6, F24 = 0.6), 4/24, (SUM(A24,B24,C24,D24,E24,F24,)/24))</f>
        <v>0</v>
      </c>
      <c r="F25" s="78"/>
      <c r="G25" s="78"/>
      <c r="H25" s="88"/>
    </row>
    <row r="26" spans="1:9" ht="17" customHeight="1" thickBot="1">
      <c r="A26" s="84" t="s">
        <v>2</v>
      </c>
      <c r="B26" s="80">
        <f>IF(F9 &lt;&gt; " ", IF(F8&gt;8 / 24,F9+F8-8 / 24,0 /24), IF(F8&gt;8 / 24,F8-8 / 24,0 /24) )</f>
        <v>0</v>
      </c>
      <c r="C26" s="94"/>
      <c r="D26" s="98" t="s">
        <v>42</v>
      </c>
      <c r="E26" s="95">
        <f>IF(E25 &lt; -0.13, IF(E23&lt;(56/24), 52/24, SUM(E23,E25)),  IF(E25=-0.125, (IF(E23&lt;(46/24), 43/24,SUM(E23,E25))),SUM(E23,E25)))</f>
        <v>0</v>
      </c>
      <c r="F26" s="79"/>
      <c r="G26" s="79"/>
      <c r="H26" s="83" t="s">
        <v>8</v>
      </c>
    </row>
    <row r="27" spans="1:9" ht="17" customHeight="1">
      <c r="A27" s="91">
        <f>IF(D2&gt;DATE(YEAR(D2),3,31),IF(D2&lt;DATE(YEAR(D2),10,1),22 / 24,20 / 24),20 /24)</f>
        <v>0.91666666666666663</v>
      </c>
      <c r="B27" s="80">
        <f>IF(F12 &lt;&gt; " ", IF(F11&gt;8 / 24,F12+F11-8 / 24,0 /24),IF(F11&gt;8 / 24,F11-8 / 24,0 /24))</f>
        <v>0</v>
      </c>
      <c r="C27" s="45"/>
      <c r="D27" s="45"/>
      <c r="E27" s="45"/>
      <c r="F27" s="45"/>
      <c r="G27" s="45"/>
      <c r="H27" s="83" t="s">
        <v>31</v>
      </c>
    </row>
    <row r="28" spans="1:9" ht="17" customHeight="1">
      <c r="A28" s="92" t="s">
        <v>1</v>
      </c>
      <c r="B28" s="80">
        <f>IF(F15 &lt;&gt; " ", IF(F14&gt;8 / 24,F15+F14-8 / 24,0 /24), IF(F14&gt;8 / 24,F14-8 / 24,0 /24))</f>
        <v>0</v>
      </c>
      <c r="C28" s="45"/>
      <c r="D28" s="45"/>
      <c r="E28" s="45"/>
      <c r="F28" s="45"/>
      <c r="G28" s="45"/>
      <c r="H28" s="89" t="s">
        <v>14</v>
      </c>
    </row>
    <row r="29" spans="1:9" s="3" customFormat="1" ht="17" customHeight="1" thickBot="1">
      <c r="A29" s="93">
        <v>0.25</v>
      </c>
      <c r="B29" s="80">
        <f>IF(F18 &lt;&gt; " ", IF(F17&gt;8 / 24,F18+F17-8 / 24,0 /24), IF(F17&gt;8 / 24,F17-8 / 24,0 /24))</f>
        <v>0</v>
      </c>
      <c r="C29" s="45"/>
      <c r="D29" s="45"/>
      <c r="E29" s="45"/>
      <c r="F29" s="45"/>
      <c r="G29" s="45"/>
      <c r="H29" s="90"/>
    </row>
    <row r="30" spans="1:9" s="3" customFormat="1" ht="17" customHeight="1">
      <c r="A30" s="85"/>
      <c r="B30" s="80">
        <f>IF(F21 &lt;&gt; " ", IF(F20&gt;8 / 24,F21+F20-8 / 24,0 /24), IF(F20&gt;8 / 24,F20-8 / 24,0 /24))</f>
        <v>0</v>
      </c>
      <c r="C30" s="45"/>
      <c r="D30" s="45"/>
      <c r="E30" s="45"/>
      <c r="F30" s="45"/>
      <c r="G30" s="45"/>
      <c r="H30" s="24"/>
    </row>
    <row r="31" spans="1:9" s="3" customFormat="1" ht="17" customHeight="1">
      <c r="A31" s="96"/>
      <c r="B31" s="81"/>
      <c r="C31" s="44"/>
      <c r="D31" s="44"/>
      <c r="E31" s="44"/>
      <c r="F31" s="44"/>
      <c r="G31" s="44"/>
      <c r="H31" s="97"/>
    </row>
    <row r="32" spans="1:9" s="3" customFormat="1" ht="17" customHeight="1">
      <c r="A32" s="1"/>
      <c r="B32" s="1"/>
      <c r="C32" s="1"/>
      <c r="D32" s="1"/>
      <c r="E32" s="1"/>
      <c r="F32" s="1"/>
      <c r="G32" s="1"/>
      <c r="H32" s="1"/>
    </row>
    <row r="33" spans="1:8" s="3" customFormat="1" ht="17" customHeight="1">
      <c r="A33" s="1"/>
      <c r="B33" s="1"/>
      <c r="C33" s="1"/>
      <c r="D33" s="1"/>
      <c r="E33" s="1"/>
      <c r="F33" s="1"/>
      <c r="G33" s="1"/>
      <c r="H33" s="1"/>
    </row>
    <row r="34" spans="1:8" s="3" customFormat="1" ht="17" customHeight="1">
      <c r="A34" s="1"/>
      <c r="B34" s="1"/>
      <c r="C34" s="1"/>
      <c r="D34" s="1"/>
      <c r="E34" s="1"/>
      <c r="F34" s="1"/>
      <c r="G34" s="1"/>
      <c r="H34" s="1"/>
    </row>
    <row r="35" spans="1:8" s="3" customFormat="1" ht="17" customHeight="1">
      <c r="A35" s="1"/>
      <c r="B35" s="1"/>
      <c r="C35" s="1"/>
      <c r="D35" s="1"/>
      <c r="E35" s="1"/>
      <c r="F35" s="1"/>
      <c r="G35" s="1"/>
      <c r="H35" s="1"/>
    </row>
    <row r="36" spans="1:8" s="3" customFormat="1" ht="17" customHeight="1">
      <c r="A36" s="1"/>
      <c r="B36" s="1"/>
      <c r="C36" s="1"/>
      <c r="D36" s="1"/>
      <c r="E36" s="1"/>
      <c r="F36" s="1"/>
      <c r="G36" s="1"/>
      <c r="H36" s="1"/>
    </row>
    <row r="37" spans="1:8" s="3" customFormat="1" ht="17" customHeight="1">
      <c r="A37" s="1"/>
      <c r="B37" s="1"/>
      <c r="C37" s="1"/>
      <c r="D37" s="1"/>
      <c r="E37" s="1"/>
      <c r="F37" s="1"/>
      <c r="G37" s="1"/>
      <c r="H37" s="1"/>
    </row>
    <row r="38" spans="1:8" ht="17" customHeight="1"/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theme="6"/>
    <pageSetUpPr fitToPage="1"/>
  </sheetPr>
  <dimension ref="A1:H38"/>
  <sheetViews>
    <sheetView zoomScale="75" zoomScaleNormal="75" workbookViewId="0">
      <selection activeCell="C8" sqref="C8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8" ht="24" customHeight="1">
      <c r="A1" s="25" t="s">
        <v>6</v>
      </c>
      <c r="B1" s="52" t="str">
        <f>'1er Ass'!B1</f>
        <v>"Production"</v>
      </c>
      <c r="C1" s="51"/>
      <c r="D1" s="26" t="str">
        <f>'1er Ass'!D1</f>
        <v>Semaine N°</v>
      </c>
      <c r="E1" s="6" t="s">
        <v>4</v>
      </c>
      <c r="F1" s="52" t="str">
        <f>'1er Ass'!F1</f>
        <v>Caméra</v>
      </c>
      <c r="G1" s="52"/>
      <c r="H1" s="27"/>
    </row>
    <row r="2" spans="1:8" ht="20" customHeight="1">
      <c r="A2" s="28" t="s">
        <v>7</v>
      </c>
      <c r="B2" s="53" t="str">
        <f>'1er Ass'!B2</f>
        <v>"Film"</v>
      </c>
      <c r="C2" s="30" t="s">
        <v>35</v>
      </c>
      <c r="D2" s="46">
        <f>'1er Ass'!D2</f>
        <v>43683</v>
      </c>
      <c r="E2" s="30" t="s">
        <v>5</v>
      </c>
      <c r="F2" s="23" t="s">
        <v>17</v>
      </c>
      <c r="G2" s="53"/>
      <c r="H2" s="31"/>
    </row>
    <row r="3" spans="1:8" ht="20" customHeight="1" thickBot="1">
      <c r="A3" s="28"/>
      <c r="B3" s="53"/>
      <c r="C3" s="30" t="s">
        <v>36</v>
      </c>
      <c r="D3" s="32">
        <f>'1er Ass'!D3</f>
        <v>43687</v>
      </c>
      <c r="E3" s="7"/>
      <c r="F3" s="54"/>
      <c r="G3" s="54"/>
      <c r="H3" s="33"/>
    </row>
    <row r="4" spans="1:8" ht="50" customHeight="1">
      <c r="A4" s="13" t="s">
        <v>0</v>
      </c>
      <c r="B4" s="5" t="s">
        <v>16</v>
      </c>
      <c r="C4" s="5" t="s">
        <v>32</v>
      </c>
      <c r="D4" s="5" t="s">
        <v>9</v>
      </c>
      <c r="E4" s="5" t="s">
        <v>38</v>
      </c>
      <c r="F4" s="5" t="s">
        <v>3</v>
      </c>
      <c r="G4" s="14" t="s">
        <v>10</v>
      </c>
      <c r="H4" s="15" t="s">
        <v>12</v>
      </c>
    </row>
    <row r="5" spans="1:8" s="3" customFormat="1" ht="23" customHeight="1">
      <c r="A5" s="34" t="str">
        <f>CHOOSE(WEEKDAY(A6,2),"LUNDI","MARDI","MERCREDI","JEUDI","VENDREDI","SAMEDI","DIMANCHE")</f>
        <v>LUNDI</v>
      </c>
      <c r="B5" s="8" t="str">
        <f>IF(OR(C5&lt;&gt;0, C6 &lt;&gt;0), IF(MOD(C6-C5, 1) &lt; 0.041, "(pause réduite)", ""), "")</f>
        <v/>
      </c>
      <c r="C5" s="55">
        <f>'1er Ass'!C5</f>
        <v>0</v>
      </c>
      <c r="D5" s="35">
        <f>'1er Ass'!D5</f>
        <v>0</v>
      </c>
      <c r="E5" s="8">
        <f>IF(D5= "",0/24,((MOD(D6-D5,1))-MOD(C6-C5,1)))</f>
        <v>0</v>
      </c>
      <c r="F5" s="8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8">
        <v>0</v>
      </c>
      <c r="H5" s="56">
        <f>'1er Ass'!H5</f>
        <v>0</v>
      </c>
    </row>
    <row r="6" spans="1:8" ht="17" customHeight="1">
      <c r="A6" s="36">
        <f>D2</f>
        <v>43683</v>
      </c>
      <c r="B6" s="101" t="str">
        <f>IF(E6=0 / 24, "","(journée continue)")</f>
        <v/>
      </c>
      <c r="C6" s="55">
        <f>'1er Ass'!C6</f>
        <v>0</v>
      </c>
      <c r="D6" s="35">
        <f>'1er Ass'!D6</f>
        <v>0</v>
      </c>
      <c r="E6" s="68">
        <f>SUM(D7,E7)</f>
        <v>0</v>
      </c>
      <c r="F6" s="8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16"/>
      <c r="H6" s="17"/>
    </row>
    <row r="7" spans="1:8" ht="17" customHeight="1">
      <c r="A7" s="37">
        <f>IF(A6 = "", Deb, IF(A6&gt;DATE(YEAR(A6),3,31),IF(A6&lt;DATE(YEAR(A6),10,1),22/24,20/24),20/24))</f>
        <v>0.91666666666666663</v>
      </c>
      <c r="B7" s="100" t="str">
        <f>IF(A6 &lt;&gt; "", IF(A5="DIMANCHE", "(majoration dimanche)", ""), "")</f>
        <v/>
      </c>
      <c r="C7" s="38">
        <f>IF(C6 = C5, (MOD(D6-D5,1)),0)</f>
        <v>0</v>
      </c>
      <c r="D7" s="39">
        <f>IF(C5=0 / 24,0,IF((MOD(C5-D5,1))&lt;6 / 24,0,0.5 / 24))</f>
        <v>0</v>
      </c>
      <c r="E7" s="18">
        <f>IF(C7&gt;=(6/24),0.5 / 24,(IF(C5 = C6, IF(MOD(D6-D5, 1) &lt;6/24, 0, 0.5/24), IF((MOD(D6-C6,1))&lt;6/24,0,0.5/24))))</f>
        <v>0</v>
      </c>
      <c r="F7" s="63" t="str">
        <f>IF(OR(F6=" ", F6=0)," ","(minoration repas nuit)")</f>
        <v xml:space="preserve"> </v>
      </c>
      <c r="G7" s="19"/>
      <c r="H7" s="20">
        <f>IF((E5+E6)&lt;10/24,0/24,(E5+E6)-10/24)</f>
        <v>0</v>
      </c>
    </row>
    <row r="8" spans="1:8" ht="17" customHeight="1">
      <c r="A8" s="34" t="str">
        <f>CHOOSE(WEEKDAY(A6+1,2),"LUNDI","MARDI","MERCREDI","JEUDI","VENDREDI","SAMEDI","DIMANCHE")</f>
        <v>MARDI</v>
      </c>
      <c r="B8" s="40" t="str">
        <f>IF(OR(C8&lt;&gt;0, C9 &lt;&gt;0), IF(MOD(C9-C8, 1) &lt; 0.041, "(pause réduite)", ""), "")</f>
        <v/>
      </c>
      <c r="C8" s="55">
        <f>'1er Ass'!C8</f>
        <v>0</v>
      </c>
      <c r="D8" s="35">
        <f>'1er Ass'!D8</f>
        <v>0</v>
      </c>
      <c r="E8" s="8">
        <f>IF(D8= "",0/24,((MOD(D9-D8,1))-MOD(C9-C8,1)))</f>
        <v>0</v>
      </c>
      <c r="F8" s="8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8">
        <f>IF(AND(D5=0, D6=0), 0/24, (IF(D8=0/24,0/24,IF((MOD(D8-D6,1))&gt;=11/24,0/24,11/24-(MOD(D8-D6,1))))))</f>
        <v>0</v>
      </c>
      <c r="H8" s="56">
        <f>'1er Ass'!H8</f>
        <v>0</v>
      </c>
    </row>
    <row r="9" spans="1:8" ht="17" customHeight="1">
      <c r="A9" s="36">
        <f>IF(AND(DATE(YEAR(D2),MONTH(D2),DAY(D2))&lt;DATE(YEAR(D3),MONTH(D3),DAY(D3)), A6&lt;&gt;""),DATE(YEAR(D2),MONTH(D2),DAY(D2)+1),"")</f>
        <v>43684</v>
      </c>
      <c r="B9" s="102" t="str">
        <f>IF(E9=0 / 24, "","(journée continue)")</f>
        <v/>
      </c>
      <c r="C9" s="55">
        <f>'1er Ass'!C9</f>
        <v>0</v>
      </c>
      <c r="D9" s="35">
        <f>'1er Ass'!D9</f>
        <v>0</v>
      </c>
      <c r="E9" s="68">
        <f>SUM(D10,E10)</f>
        <v>0</v>
      </c>
      <c r="F9" s="8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16"/>
      <c r="H9" s="17"/>
    </row>
    <row r="10" spans="1:8" ht="17" customHeight="1">
      <c r="A10" s="37">
        <f>IF(A9 = "", Deb, IF(A9&gt;DATE(YEAR(A9),3,31),IF(A9&lt;DATE(YEAR(A9),10,1),22/24,20/24),20/24))</f>
        <v>0.91666666666666663</v>
      </c>
      <c r="B10" s="100" t="str">
        <f>IF(A9 &lt;&gt; "", IF(A8="DIMANCHE", "(majoration dimanche)", ""), "")</f>
        <v/>
      </c>
      <c r="C10" s="38">
        <f>IF(C9 = C8, (MOD(D9-D8,1)),0)</f>
        <v>0</v>
      </c>
      <c r="D10" s="39">
        <f>IF(C8=0 / 24,0,IF((MOD(C8-D8,1))&lt;6 / 24,0,0.5 / 24))</f>
        <v>0</v>
      </c>
      <c r="E10" s="38">
        <f>IF(C10&gt;=(6/24),0.5 / 24,(IF(C8 = C9, IF(MOD(D9-D8, 1) &lt;6/24, 0, 0.5/24), IF((MOD(D9-C9,1))&lt;6/24,0,0.5/24))))</f>
        <v>0</v>
      </c>
      <c r="F10" s="63" t="str">
        <f>IF(F9=" "," ","(minoration repas nuit)")</f>
        <v xml:space="preserve"> </v>
      </c>
      <c r="G10" s="19"/>
      <c r="H10" s="20">
        <f>IF((E8+E9)&lt;10/24,0/24,(E8+E9)-10/24)</f>
        <v>0</v>
      </c>
    </row>
    <row r="11" spans="1:8" ht="17" customHeight="1">
      <c r="A11" s="34" t="str">
        <f>CHOOSE(WEEKDAY(A6+2,2),"LUNDI","MARDI","MERCREDI","JEUDI","VENDREDI","SAMEDI","DIMANCHE")</f>
        <v>MERCREDI</v>
      </c>
      <c r="B11" s="40" t="str">
        <f>IF(OR(C11&lt;&gt;0, C12 &lt;&gt;0), IF(MOD(C12-C11, 1) &lt; 0.041, "(pause réduite)", ""), "")</f>
        <v/>
      </c>
      <c r="C11" s="55">
        <f>'1er Ass'!C11</f>
        <v>0</v>
      </c>
      <c r="D11" s="35">
        <f>'1er Ass'!D11</f>
        <v>0</v>
      </c>
      <c r="E11" s="8">
        <f>IF(D11= "",0/24,((MOD(D12-D11,1))-MOD(C12-C11,1)))</f>
        <v>0</v>
      </c>
      <c r="F11" s="8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42">
        <f>IF(AND(D8=0, D9=0), 0/24, (IF(D11=0/24,0/24,IF((MOD(D11-D9,1))&gt;=11/24,0/24,11/24-(MOD(D11-D9,1))))))</f>
        <v>0</v>
      </c>
      <c r="H11" s="56">
        <f>'1er Ass'!H11</f>
        <v>0</v>
      </c>
    </row>
    <row r="12" spans="1:8" ht="17" customHeight="1">
      <c r="A12" s="36">
        <f>IF(AND(DATE(YEAR(A9),MONTH(A9),DAY(A9))&lt;DATE(YEAR(D3),MONTH(D3),DAY(D3)), A9&lt;&gt;""),DATE(YEAR(D2),MONTH(D2),DAY(D2)+2), "")</f>
        <v>43685</v>
      </c>
      <c r="B12" s="102" t="str">
        <f>IF(E12=0 / 24, "","(journée continue)")</f>
        <v/>
      </c>
      <c r="C12" s="55">
        <f>'1er Ass'!C12</f>
        <v>0</v>
      </c>
      <c r="D12" s="35">
        <f>'1er Ass'!D12</f>
        <v>0</v>
      </c>
      <c r="E12" s="68">
        <f>SUM(D13,E13)</f>
        <v>0</v>
      </c>
      <c r="F12" s="8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8"/>
      <c r="H12" s="17"/>
    </row>
    <row r="13" spans="1:8" ht="17" customHeight="1">
      <c r="A13" s="37">
        <f>IF(A12 = "", Deb, IF(A12&gt;DATE(YEAR(A12),3,31),IF(A12&lt;DATE(YEAR(A12),10,1),22/24,20/24),20/24))</f>
        <v>0.91666666666666663</v>
      </c>
      <c r="B13" s="63" t="str">
        <f>IF(A12 &lt;&gt; "", IF(A11="DIMANCHE", "(majoration dimanche)", ""), "")</f>
        <v/>
      </c>
      <c r="C13" s="38">
        <f>IF(C12 = C11, (MOD(D12-D11,1)),0)</f>
        <v>0</v>
      </c>
      <c r="D13" s="39">
        <f>IF(C11=0 / 24,0,IF((MOD(C11-D11,1))&lt;6 / 24,0,0.5 / 24))</f>
        <v>0</v>
      </c>
      <c r="E13" s="18">
        <f>IF(C13&gt;=(6/24),0.5 / 24,(IF(C11 = C12, IF(MOD(D12-D11, 1) &lt;6/24, 0, 0.5/24), IF((MOD(D12-C12,1))&lt;6/24,0,0.5/24))))</f>
        <v>0</v>
      </c>
      <c r="F13" s="63" t="str">
        <f>IF(F12=" "," ","(minoration repas nuit)")</f>
        <v xml:space="preserve"> </v>
      </c>
      <c r="G13" s="19"/>
      <c r="H13" s="20">
        <f>IF((E11+E12)&lt;10/24,0/24,(E11+E12)-10/24)</f>
        <v>0</v>
      </c>
    </row>
    <row r="14" spans="1:8" ht="17" customHeight="1">
      <c r="A14" s="34" t="str">
        <f>CHOOSE(WEEKDAY(A6+3,2),"LUNDI","MARDI","MERCREDI","JEUDI","VENDREDI","SAMEDI","DIMANCHE")</f>
        <v>JEUDI</v>
      </c>
      <c r="B14" s="40" t="str">
        <f>IF(OR(C14&lt;&gt;0, C15 &lt;&gt;0), IF(MOD(C15-C14, 1) &lt; 0.041, "(pause réduite)", ""), "")</f>
        <v/>
      </c>
      <c r="C14" s="55">
        <f>'1er Ass'!C14</f>
        <v>0</v>
      </c>
      <c r="D14" s="35">
        <f>'1er Ass'!D14</f>
        <v>0</v>
      </c>
      <c r="E14" s="8">
        <f>IF(D14= "",0/24,((MOD(D15-D14,1))-MOD(C15-C14,1)))</f>
        <v>0</v>
      </c>
      <c r="F14" s="8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8">
        <f>IF(AND(D11=0, D12=0), 0/24, (IF(D14=0/24,0/24,IF((MOD(D14-D12,1))&gt;= 11/24, 0/24, (11/24- (MOD(D14-D12,1)))))))</f>
        <v>0</v>
      </c>
      <c r="H14" s="56">
        <f>'1er Ass'!H14</f>
        <v>0</v>
      </c>
    </row>
    <row r="15" spans="1:8" ht="17" customHeight="1">
      <c r="A15" s="36">
        <f>IF(A12&lt;&gt; "", (IF(DATE(YEAR(A12),MONTH(A12),DAY(A12))&lt;DATE(YEAR(D3),MONTH(D3),DAY(D3)),DATE(YEAR(D2),MONTH(D2),(DAY(D2)+3)), "")), "")</f>
        <v>43686</v>
      </c>
      <c r="B15" s="102" t="str">
        <f>IF(E15=0 / 24, "","(journée continue)")</f>
        <v/>
      </c>
      <c r="C15" s="55">
        <f>'1er Ass'!C15</f>
        <v>0</v>
      </c>
      <c r="D15" s="35">
        <f>'1er Ass'!D15</f>
        <v>0</v>
      </c>
      <c r="E15" s="68">
        <f>SUM(D16,E16)</f>
        <v>0</v>
      </c>
      <c r="F15" s="8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16"/>
      <c r="H15" s="17"/>
    </row>
    <row r="16" spans="1:8" ht="17" customHeight="1">
      <c r="A16" s="37">
        <f>IF(A15 = "", Deb, IF(A15&gt;DATE(YEAR(A15),3,31),IF(A15&lt;DATE(YEAR(A15),10,1),22/24,20/24),20/24))</f>
        <v>0.91666666666666663</v>
      </c>
      <c r="B16" s="63" t="str">
        <f>IF(A15 &lt;&gt; "", IF(A14="DIMANCHE", "(majoration dimanche)", ""), "")</f>
        <v/>
      </c>
      <c r="C16" s="38">
        <f>IF(C14 = C15, (MOD(D15-D14,1)),0)</f>
        <v>0</v>
      </c>
      <c r="D16" s="39">
        <f>IF(C14=0 / 24,0,IF((MOD(C14-D14,1))&lt;6 / 24,0,0.5 / 24))</f>
        <v>0</v>
      </c>
      <c r="E16" s="18">
        <f>IF(C16&gt;=(6/24),0.5 / 24,(IF(C15 = C14, IF(MOD(D15-D14, 1) &lt;6/24, 0, 0.5/24), IF((MOD(D15-C15,1))&lt;6/24,0,0.5/24))))</f>
        <v>0</v>
      </c>
      <c r="F16" s="63" t="str">
        <f>IF(F15=" "," ","(minoration repas nuit)")</f>
        <v xml:space="preserve"> </v>
      </c>
      <c r="G16" s="19"/>
      <c r="H16" s="20">
        <f>IF((E14+E15)&lt;10/24,0/24,(E14+E15)-10/24)</f>
        <v>0</v>
      </c>
    </row>
    <row r="17" spans="1:8" ht="17" customHeight="1">
      <c r="A17" s="34" t="str">
        <f>CHOOSE(WEEKDAY(A6+4,2),"LUNDI","MARDI","MERCREDI","JEUDI","VENDREDI","SAMEDI","DIMANCHE")</f>
        <v>VENDREDI</v>
      </c>
      <c r="B17" s="40" t="str">
        <f>IF(OR(C17&lt;&gt;0, C18 &lt;&gt;0), IF(MOD(C18-C17, 1) &lt; 0.041, "(pause réduite)", ""), "")</f>
        <v/>
      </c>
      <c r="C17" s="55">
        <f>'1er Ass'!C17</f>
        <v>0</v>
      </c>
      <c r="D17" s="35">
        <f>'1er Ass'!D17</f>
        <v>0</v>
      </c>
      <c r="E17" s="8">
        <f>IF(D17="",0/24,((MOD(D18-D17,1))-MOD(C18-C17,1)))</f>
        <v>0</v>
      </c>
      <c r="F17" s="8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8">
        <f>IF(AND(D14=0, D15=0), 0/24,(IF(D17=0/24,0/24,IF((MOD(D17-D15,1))&gt;= 11/24,0/24,11/24-(MOD(D17-D15,1))))))</f>
        <v>0</v>
      </c>
      <c r="H17" s="56">
        <f>'1er Ass'!H17</f>
        <v>0</v>
      </c>
    </row>
    <row r="18" spans="1:8" ht="17" customHeight="1">
      <c r="A18" s="36">
        <f>IF(A15&lt;&gt; "", (IF(DATE(YEAR(A15),MONTH(A15),DAY(A15))&lt;DATE(YEAR(D3),MONTH(D3),DAY(D3)),DATE(YEAR(D2),MONTH(D2),(DAY(D2)+4)), "")), "")</f>
        <v>43687</v>
      </c>
      <c r="B18" s="102" t="str">
        <f>IF(E18=0 / 24, "","(journée continue)")</f>
        <v/>
      </c>
      <c r="C18" s="55">
        <f>'1er Ass'!C18</f>
        <v>0</v>
      </c>
      <c r="D18" s="35">
        <f>'1er Ass'!D18</f>
        <v>0</v>
      </c>
      <c r="E18" s="68">
        <f>SUM(D19,E19)</f>
        <v>0</v>
      </c>
      <c r="F18" s="8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16"/>
      <c r="H18" s="17"/>
    </row>
    <row r="19" spans="1:8" ht="17" customHeight="1">
      <c r="A19" s="37">
        <f>IF(A18 = "", Deb, IF(A18&gt;DATE(YEAR(A18),3,31),IF(A18&lt;DATE(YEAR(A18),10,1),22/24,20/24),20/24))</f>
        <v>0.91666666666666663</v>
      </c>
      <c r="B19" s="63" t="str">
        <f>IF(A18 &lt;&gt; "", IF(A17="DIMANCHE", "(majoration dimanche)", ""), "")</f>
        <v/>
      </c>
      <c r="C19" s="38">
        <f>IF(C17 = C18, (MOD(D18-D17,1)),0)</f>
        <v>0</v>
      </c>
      <c r="D19" s="39">
        <f>IF(C17=0 / 24,0,IF((MOD(C17-D17,1))&lt;6 / 24,0,0.5 / 24))</f>
        <v>0</v>
      </c>
      <c r="E19" s="18">
        <f>IF(C19&gt;=(6/24),0.5 / 24,(IF(C17 = C18, IF(MOD(D18-D17, 1) &lt;6/24, 0, 0.5/24), IF((MOD(D18-C18,1))&lt;6/24,0,0.5/24))))</f>
        <v>0</v>
      </c>
      <c r="F19" s="63" t="str">
        <f>IF(F18=" "," ","(minoration repas nuit)")</f>
        <v xml:space="preserve"> </v>
      </c>
      <c r="G19" s="19"/>
      <c r="H19" s="20">
        <f>IF((E17+E18)&lt;10/24,0/24,(E17+E18)-10/24)</f>
        <v>0</v>
      </c>
    </row>
    <row r="20" spans="1:8" ht="17" customHeight="1">
      <c r="A20" s="34" t="str">
        <f>CHOOSE(WEEKDAY(A6+5,2),"LUNDI","MARDI","MERCREDI","JEUDI","VENDREDI","SAMEDI","DIMANCHE")</f>
        <v>SAMEDI</v>
      </c>
      <c r="B20" s="40" t="str">
        <f>IF(OR(C20&lt;&gt;0, C21 &lt;&gt;0), IF(MOD(C21-C20, 1) &lt; 0.041, "(pause réduite)", ""), "")</f>
        <v/>
      </c>
      <c r="C20" s="55">
        <f>'1er Ass'!C20</f>
        <v>0</v>
      </c>
      <c r="D20" s="35">
        <f>'1er Ass'!D20</f>
        <v>0</v>
      </c>
      <c r="E20" s="8">
        <f>IF(D20= "",0/24,((MOD(D21-D20,1))-MOD(C21-C20,1)))</f>
        <v>0</v>
      </c>
      <c r="F20" s="8">
        <f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8">
        <f>IF(AND(D17=0, D18=0),0/24, (IF(D20=0/24,0/24,IF((MOD(D20-D18,1))&gt;= 11/24,0/24,11/24-(MOD(D20-D18,1))))))</f>
        <v>0</v>
      </c>
      <c r="H20" s="56">
        <f>'1er Ass'!H20</f>
        <v>0</v>
      </c>
    </row>
    <row r="21" spans="1:8" ht="17" customHeight="1">
      <c r="A21" s="36" t="str">
        <f>IF(A18&lt;&gt; "", (IF(DATE(YEAR(A18),MONTH(A18),DAY(A18))&lt;DATE(YEAR(D3),MONTH(D3),DAY(D3)),DATE(YEAR(D2),MONTH(D2),(DAY(D2)+5)), "")), "")</f>
        <v/>
      </c>
      <c r="B21" s="102" t="str">
        <f>IF(E21=0 / 24, "","(journée continue)")</f>
        <v/>
      </c>
      <c r="C21" s="55">
        <f>'1er Ass'!C21</f>
        <v>0</v>
      </c>
      <c r="D21" s="35">
        <f>'1er Ass'!D21</f>
        <v>0</v>
      </c>
      <c r="E21" s="68">
        <f>SUM(D22,E22)</f>
        <v>0</v>
      </c>
      <c r="F21" s="8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16"/>
      <c r="H21" s="21"/>
    </row>
    <row r="22" spans="1:8" ht="17" customHeight="1">
      <c r="A22" s="37">
        <f>IF(A21 = "", Deb, IF(A21&gt;DATE(YEAR(A21),3,31),IF(A21&lt;DATE(YEAR(A21),10,1),22/24,20/24),20/24))</f>
        <v>0.91666666666666663</v>
      </c>
      <c r="B22" s="63" t="str">
        <f>IF(A21&lt;&gt;"",IF(A20="DIMANCHE","(majoration dimanche)",""), "")</f>
        <v/>
      </c>
      <c r="C22" s="38">
        <f>IF(C20 = C21, (MOD(D21-D20,1)),0)</f>
        <v>0</v>
      </c>
      <c r="D22" s="39">
        <f>IF(C20=0 / 24,0,IF((MOD(C20-D20,1))&lt;6 / 24,0,0.5 / 24))</f>
        <v>0</v>
      </c>
      <c r="E22" s="18">
        <f>IF(C22&gt;=(6/24),0.5 / 24,(IF(C21 = C20, IF(MOD(D21-D20, 1) &lt;6/24, 0, 0.5/24), IF((MOD(D21-C21,1))&lt;6/24,0,0.5/24))))</f>
        <v>0</v>
      </c>
      <c r="F22" s="63" t="str">
        <f>IF(F21=" "," ","(minoration repas nuit)")</f>
        <v xml:space="preserve"> </v>
      </c>
      <c r="G22" s="18">
        <f>SUM(H22+H19+H16+H13+H10+H7)</f>
        <v>0</v>
      </c>
      <c r="H22" s="20">
        <f>IF((E20+E21)&lt;10/24,0/24,(E20+E21)-10/24)</f>
        <v>0</v>
      </c>
    </row>
    <row r="23" spans="1:8" ht="17" customHeight="1" thickBot="1">
      <c r="A23" s="70"/>
      <c r="B23" s="71" t="str">
        <f>IF(OR(E5=0/24,E8=0/24,E11=0/24,E14=0/24,E17=0/24, E20=0/24),"","(maj 100% 6ème jour+recup.)")</f>
        <v/>
      </c>
      <c r="C23" s="57"/>
      <c r="D23" s="58" t="s">
        <v>11</v>
      </c>
      <c r="E23" s="59">
        <f>SUM(E5,E8,E11,E14,E17,E20)</f>
        <v>0</v>
      </c>
      <c r="F23" s="59">
        <f>SUM(F5,F6,F8,F9,F11,F12,F14,F15,F17,F18,F20,F21)</f>
        <v>0</v>
      </c>
      <c r="G23" s="60">
        <f>SUM(G5:G21)</f>
        <v>0</v>
      </c>
      <c r="H23" s="61">
        <f>SUM(H21,H20,H18,H17,H15,H14,H12,H11,H9,H8,H6,H5)</f>
        <v>0</v>
      </c>
    </row>
    <row r="24" spans="1:8" ht="17" customHeight="1" thickBot="1">
      <c r="A24" s="64">
        <f>IF(OR(D5=0, D5=""), IF(OR(D6=0, D6=""),  0, 36 / 60), 36/ 60)</f>
        <v>0</v>
      </c>
      <c r="B24" s="65">
        <f>IF(OR(D8=0, D8=""), IF(OR(D9=0, D9=""),  0, 36/60), 36/60)</f>
        <v>0</v>
      </c>
      <c r="C24" s="65">
        <f>IF(OR(D11=0, D11=""), IF(OR(D12=0, D12=""),  0, 36/60), 36/60)</f>
        <v>0</v>
      </c>
      <c r="D24" s="65">
        <f>IF(OR(D14=0, D14=""), IF(OR(D15=0, D15=""),  0, 36/ 60), 36/60)</f>
        <v>0</v>
      </c>
      <c r="E24" s="65">
        <f>IF(OR(D17=0, D17=""), IF(OR(D18=0, D18=""),  0, 36/ 60), 36/60)</f>
        <v>0</v>
      </c>
      <c r="F24" s="65">
        <f>IF(OR(D20=0, D20=""), IF(OR(D21=0, D21=""),  0, 36/60), 36/60)</f>
        <v>0</v>
      </c>
      <c r="G24" s="66"/>
      <c r="H24" s="67"/>
    </row>
    <row r="25" spans="1:8" s="3" customFormat="1" ht="17" thickBot="1">
      <c r="A25" s="82" t="str">
        <f>IF(A27 &lt; 0.9, "(Studio Agréé 21h à 6h)", "Studio de 22h à 6h")</f>
        <v>Studio de 22h à 6h</v>
      </c>
      <c r="B25" s="80">
        <f>IF(F6 &lt;&gt; " ", IF(F5&gt;8 / 24,F6+F5-8 / 24,0 /24),  IF(F5&gt;8 / 24,F5-8 / 24,0 /24))</f>
        <v>0</v>
      </c>
      <c r="C25" s="86" t="s">
        <v>40</v>
      </c>
      <c r="D25" s="99" t="s">
        <v>41</v>
      </c>
      <c r="E25" s="87">
        <f>-IF(AND(A24=0.6, B24 = 0.6, C24=0.6, D24=0.6, E24 = 0.6, F24 = 0.6), 4/24, (SUM(A24,B24,C24,D24,E24,F24,)/24))</f>
        <v>0</v>
      </c>
      <c r="F25" s="78"/>
      <c r="G25" s="78"/>
      <c r="H25" s="88"/>
    </row>
    <row r="26" spans="1:8" ht="17" customHeight="1" thickBot="1">
      <c r="A26" s="84" t="s">
        <v>2</v>
      </c>
      <c r="B26" s="80">
        <f>IF(F9 &lt;&gt; " ", IF(F8&gt;8 / 24,F9+F8-8 / 24,0 /24), IF(F8&gt;8 / 24,F8-8 / 24,0 /24) )</f>
        <v>0</v>
      </c>
      <c r="C26" s="94"/>
      <c r="D26" s="98" t="s">
        <v>42</v>
      </c>
      <c r="E26" s="95">
        <f>IF(E25 &lt; -0.13, IF(E23&lt;(56/24), 52/24, SUM(E23,E25)),  IF(E25=-0.125, (IF(E23&lt;(46/24), 43/24,SUM(E23,E25))),SUM(E23,E25)))</f>
        <v>0</v>
      </c>
      <c r="F26" s="79"/>
      <c r="G26" s="79"/>
      <c r="H26" s="83" t="s">
        <v>8</v>
      </c>
    </row>
    <row r="27" spans="1:8" ht="17" customHeight="1">
      <c r="A27" s="91">
        <f>IF(D2&gt;DATE(YEAR(D2),3,31),IF(D2&lt;DATE(YEAR(D2),10,1),22 / 24,20 / 24),20 /24)</f>
        <v>0.91666666666666663</v>
      </c>
      <c r="B27" s="80">
        <f>IF(F12 &lt;&gt; " ", IF(F11&gt;8 / 24,F12+F11-8 / 24,0 /24),IF(F11&gt;8 / 24,F11-8 / 24,0 /24))</f>
        <v>0</v>
      </c>
      <c r="C27" s="45"/>
      <c r="D27" s="45"/>
      <c r="E27" s="45"/>
      <c r="F27" s="45"/>
      <c r="G27" s="45"/>
      <c r="H27" s="83" t="s">
        <v>31</v>
      </c>
    </row>
    <row r="28" spans="1:8" ht="17" customHeight="1">
      <c r="A28" s="92" t="s">
        <v>1</v>
      </c>
      <c r="B28" s="80">
        <f>IF(F15 &lt;&gt; " ", IF(F14&gt;8 / 24,F15+F14-8 / 24,0 /24), IF(F14&gt;8 / 24,F14-8 / 24,0 /24))</f>
        <v>0</v>
      </c>
      <c r="C28" s="45"/>
      <c r="D28" s="45"/>
      <c r="E28" s="45"/>
      <c r="F28" s="45"/>
      <c r="G28" s="45"/>
      <c r="H28" s="89" t="s">
        <v>14</v>
      </c>
    </row>
    <row r="29" spans="1:8" s="3" customFormat="1" ht="17" customHeight="1" thickBot="1">
      <c r="A29" s="93">
        <v>0.25</v>
      </c>
      <c r="B29" s="80">
        <f>IF(F18 &lt;&gt; " ", IF(F17&gt;8 / 24,F18+F17-8 / 24,0 /24), IF(F17&gt;8 / 24,F17-8 / 24,0 /24))</f>
        <v>0</v>
      </c>
      <c r="C29" s="45"/>
      <c r="D29" s="45"/>
      <c r="E29" s="45"/>
      <c r="F29" s="45"/>
      <c r="G29" s="45"/>
      <c r="H29" s="90"/>
    </row>
    <row r="30" spans="1:8" s="3" customFormat="1" ht="17" customHeight="1">
      <c r="A30" s="85"/>
      <c r="B30" s="80">
        <f>IF(F21 &lt;&gt; " ", IF(F20&gt;8 / 24,F21+F20-8 / 24,0 /24), IF(F20&gt;8 / 24,F20-8 / 24,0 /24))</f>
        <v>0</v>
      </c>
      <c r="C30" s="45"/>
      <c r="D30" s="45"/>
      <c r="E30" s="45"/>
      <c r="F30" s="45"/>
      <c r="G30" s="45"/>
      <c r="H30" s="24"/>
    </row>
    <row r="31" spans="1:8" s="3" customFormat="1" ht="17" customHeight="1">
      <c r="A31" s="96"/>
      <c r="B31" s="81"/>
      <c r="C31" s="44"/>
      <c r="D31" s="44"/>
      <c r="E31" s="44"/>
      <c r="F31" s="44"/>
      <c r="G31" s="44"/>
      <c r="H31" s="97"/>
    </row>
    <row r="32" spans="1:8" s="3" customFormat="1" ht="17" customHeight="1">
      <c r="A32" s="1"/>
      <c r="B32" s="1"/>
      <c r="C32" s="1"/>
      <c r="D32" s="1"/>
      <c r="E32" s="1"/>
      <c r="F32" s="1"/>
      <c r="G32" s="1"/>
      <c r="H32" s="1"/>
    </row>
    <row r="33" spans="1:8" s="3" customFormat="1" ht="17" customHeight="1">
      <c r="A33" s="1"/>
      <c r="B33" s="1"/>
      <c r="C33" s="1"/>
      <c r="D33" s="1"/>
      <c r="E33" s="1"/>
      <c r="F33" s="1"/>
      <c r="G33" s="1"/>
      <c r="H33" s="1"/>
    </row>
    <row r="34" spans="1:8" s="3" customFormat="1" ht="17" customHeight="1">
      <c r="A34" s="1"/>
      <c r="B34" s="1"/>
      <c r="C34" s="1"/>
      <c r="D34" s="1"/>
      <c r="E34" s="1"/>
      <c r="F34" s="1"/>
      <c r="G34" s="1"/>
      <c r="H34" s="1"/>
    </row>
    <row r="35" spans="1:8" s="3" customFormat="1" ht="17" customHeight="1">
      <c r="A35" s="1"/>
      <c r="B35" s="1"/>
      <c r="C35" s="1"/>
      <c r="D35" s="1"/>
      <c r="E35" s="1"/>
      <c r="F35" s="1"/>
      <c r="G35" s="1"/>
    </row>
    <row r="36" spans="1:8" s="3" customFormat="1" ht="17" customHeight="1">
      <c r="A36" s="1"/>
      <c r="B36" s="1"/>
      <c r="C36" s="1"/>
      <c r="D36" s="1"/>
      <c r="E36" s="1"/>
      <c r="F36" s="1"/>
      <c r="G36" s="1"/>
      <c r="H36" s="1"/>
    </row>
    <row r="37" spans="1:8" s="3" customFormat="1" ht="17" customHeight="1">
      <c r="A37" s="1"/>
      <c r="B37" s="1"/>
      <c r="C37" s="1"/>
      <c r="D37" s="1"/>
      <c r="E37" s="1"/>
      <c r="F37" s="1"/>
      <c r="G37" s="1"/>
    </row>
    <row r="38" spans="1:8" ht="17" customHeight="1"/>
  </sheetData>
  <sheetProtection sheet="1" selectLockedCells="1"/>
  <phoneticPr fontId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A086-9DA2-2243-95E0-1BD8F4943EAE}">
  <sheetPr codeName="Feuil4">
    <tabColor theme="5"/>
    <pageSetUpPr fitToPage="1"/>
  </sheetPr>
  <dimension ref="A1:H38"/>
  <sheetViews>
    <sheetView zoomScale="75" zoomScaleNormal="75" workbookViewId="0">
      <selection activeCell="D1" sqref="D1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8" ht="24" customHeight="1">
      <c r="A1" s="25" t="s">
        <v>6</v>
      </c>
      <c r="B1" s="137" t="str">
        <f>'1er Ass'!B1</f>
        <v>"Production"</v>
      </c>
      <c r="C1" s="138"/>
      <c r="D1" s="26" t="str">
        <f>'1er Ass'!D1</f>
        <v>Semaine N°</v>
      </c>
      <c r="E1" s="6" t="s">
        <v>4</v>
      </c>
      <c r="F1" s="52" t="str">
        <f>'1er Ass'!F1</f>
        <v>Caméra</v>
      </c>
      <c r="G1" s="137"/>
      <c r="H1" s="27"/>
    </row>
    <row r="2" spans="1:8" ht="20" customHeight="1">
      <c r="A2" s="28" t="s">
        <v>7</v>
      </c>
      <c r="B2" s="136" t="str">
        <f>'1er Ass'!B2</f>
        <v>"Film"</v>
      </c>
      <c r="C2" s="139" t="s">
        <v>35</v>
      </c>
      <c r="D2" s="46">
        <f>'1er Ass'!D2</f>
        <v>43683</v>
      </c>
      <c r="E2" s="30" t="s">
        <v>5</v>
      </c>
      <c r="F2" s="23" t="s">
        <v>17</v>
      </c>
      <c r="G2" s="136"/>
      <c r="H2" s="31"/>
    </row>
    <row r="3" spans="1:8" ht="20" customHeight="1" thickBot="1">
      <c r="A3" s="28"/>
      <c r="B3" s="136"/>
      <c r="C3" s="139" t="s">
        <v>36</v>
      </c>
      <c r="D3" s="32">
        <f>'1er Ass'!D3</f>
        <v>43687</v>
      </c>
      <c r="E3" s="7"/>
      <c r="F3" s="140"/>
      <c r="G3" s="140"/>
      <c r="H3" s="33"/>
    </row>
    <row r="4" spans="1:8" ht="50" customHeight="1">
      <c r="A4" s="13" t="s">
        <v>0</v>
      </c>
      <c r="B4" s="5" t="s">
        <v>16</v>
      </c>
      <c r="C4" s="5" t="s">
        <v>32</v>
      </c>
      <c r="D4" s="5" t="s">
        <v>9</v>
      </c>
      <c r="E4" s="5" t="s">
        <v>38</v>
      </c>
      <c r="F4" s="5" t="s">
        <v>3</v>
      </c>
      <c r="G4" s="14" t="s">
        <v>10</v>
      </c>
      <c r="H4" s="15" t="s">
        <v>12</v>
      </c>
    </row>
    <row r="5" spans="1:8" s="3" customFormat="1" ht="23" customHeight="1">
      <c r="A5" s="34" t="str">
        <f>CHOOSE(WEEKDAY(A6,2),"LUNDI","MARDI","MERCREDI","JEUDI","VENDREDI","SAMEDI","DIMANCHE")</f>
        <v>LUNDI</v>
      </c>
      <c r="B5" s="8" t="str">
        <f>IF(OR(C5&lt;&gt;0, C6 &lt;&gt;0), IF(MOD(C6-C5, 1) &lt; 0.041, "(pause réduite)", ""), "")</f>
        <v/>
      </c>
      <c r="C5" s="55">
        <f>'1er Ass'!C5</f>
        <v>0</v>
      </c>
      <c r="D5" s="35">
        <f>'1er Ass'!D5</f>
        <v>0</v>
      </c>
      <c r="E5" s="8">
        <f>IF(D5= "",0/24,((MOD(D6-D5,1))-MOD(C6-C5,1)))</f>
        <v>0</v>
      </c>
      <c r="F5" s="8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8">
        <v>0</v>
      </c>
      <c r="H5" s="56">
        <f>'1er Ass'!H5</f>
        <v>0</v>
      </c>
    </row>
    <row r="6" spans="1:8" ht="17" customHeight="1">
      <c r="A6" s="36">
        <f>D2</f>
        <v>43683</v>
      </c>
      <c r="B6" s="101" t="str">
        <f>IF(E6=0 / 24, "","(journée continue)")</f>
        <v/>
      </c>
      <c r="C6" s="55">
        <f>'1er Ass'!C6</f>
        <v>0</v>
      </c>
      <c r="D6" s="35">
        <f>'1er Ass'!D6</f>
        <v>0</v>
      </c>
      <c r="E6" s="68">
        <f>SUM(D7,E7)</f>
        <v>0</v>
      </c>
      <c r="F6" s="8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16"/>
      <c r="H6" s="17"/>
    </row>
    <row r="7" spans="1:8" ht="17" customHeight="1">
      <c r="A7" s="37">
        <f>IF(A6 = "", Deb, IF(A6&gt;DATE(YEAR(A6),3,31),IF(A6&lt;DATE(YEAR(A6),10,1),22/24,20/24),20/24))</f>
        <v>0.91666666666666663</v>
      </c>
      <c r="B7" s="100" t="str">
        <f>IF(A6 &lt;&gt; "", IF(A5="DIMANCHE", "(majoration dimanche)", ""), "")</f>
        <v/>
      </c>
      <c r="C7" s="38">
        <f>IF(C6 = C5, (MOD(D6-D5,1)),0)</f>
        <v>0</v>
      </c>
      <c r="D7" s="39">
        <f>IF(C5=0 / 24,0,IF((MOD(C5-D5,1))&lt;6 / 24,0,0.5 / 24))</f>
        <v>0</v>
      </c>
      <c r="E7" s="18">
        <f>IF(C7&gt;=(6/24),0.5 / 24,(IF(C5 = C6, IF(MOD(D6-D5, 1) &lt;6/24, 0, 0.5/24), IF((MOD(D6-C6,1))&lt;6/24,0,0.5/24))))</f>
        <v>0</v>
      </c>
      <c r="F7" s="63" t="str">
        <f>IF(OR(F6=" ", F6=0)," ","(minoration repas nuit)")</f>
        <v xml:space="preserve"> </v>
      </c>
      <c r="G7" s="19"/>
      <c r="H7" s="20">
        <f>IF((E5+E6)&lt;10/24,0/24,(E5+E6)-10/24)</f>
        <v>0</v>
      </c>
    </row>
    <row r="8" spans="1:8" ht="17" customHeight="1">
      <c r="A8" s="34" t="str">
        <f>CHOOSE(WEEKDAY(A6+1,2),"LUNDI","MARDI","MERCREDI","JEUDI","VENDREDI","SAMEDI","DIMANCHE")</f>
        <v>MARDI</v>
      </c>
      <c r="B8" s="40" t="str">
        <f>IF(OR(C8&lt;&gt;0, C9 &lt;&gt;0), IF(MOD(C9-C8, 1) &lt; 0.041, "(pause réduite)", ""), "")</f>
        <v/>
      </c>
      <c r="C8" s="55">
        <f>'1er Ass'!C8</f>
        <v>0</v>
      </c>
      <c r="D8" s="35">
        <f>'1er Ass'!D8</f>
        <v>0</v>
      </c>
      <c r="E8" s="8">
        <f>IF(D8= "",0/24,((MOD(D9-D8,1))-MOD(C9-C8,1)))</f>
        <v>0</v>
      </c>
      <c r="F8" s="8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8">
        <f>IF(AND(D5=0, D6=0), 0/24, (IF(D8=0/24,0/24,IF((MOD(D8-D6,1))&gt;=11/24,0/24,11/24-(MOD(D8-D6,1))))))</f>
        <v>0</v>
      </c>
      <c r="H8" s="56">
        <f>'1er Ass'!H8</f>
        <v>0</v>
      </c>
    </row>
    <row r="9" spans="1:8" ht="17" customHeight="1">
      <c r="A9" s="36">
        <f>IF(AND(DATE(YEAR(D2),MONTH(D2),DAY(D2))&lt;DATE(YEAR(D3),MONTH(D3),DAY(D3)), A6&lt;&gt;""),DATE(YEAR(D2),MONTH(D2),DAY(D2)+1),"")</f>
        <v>43684</v>
      </c>
      <c r="B9" s="102" t="str">
        <f>IF(E9=0 / 24, "","(journée continue)")</f>
        <v/>
      </c>
      <c r="C9" s="55">
        <f>'1er Ass'!C9</f>
        <v>0</v>
      </c>
      <c r="D9" s="35">
        <f>'1er Ass'!D9</f>
        <v>0</v>
      </c>
      <c r="E9" s="68">
        <f>SUM(D10,E10)</f>
        <v>0</v>
      </c>
      <c r="F9" s="8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16"/>
      <c r="H9" s="17"/>
    </row>
    <row r="10" spans="1:8" ht="17" customHeight="1">
      <c r="A10" s="37">
        <f>IF(A9 = "", Deb, IF(A9&gt;DATE(YEAR(A9),3,31),IF(A9&lt;DATE(YEAR(A9),10,1),22/24,20/24),20/24))</f>
        <v>0.91666666666666663</v>
      </c>
      <c r="B10" s="100" t="str">
        <f>IF(A9 &lt;&gt; "", IF(A8="DIMANCHE", "(majoration dimanche)", ""), "")</f>
        <v/>
      </c>
      <c r="C10" s="38">
        <f>IF(C9 = C8, (MOD(D9-D8,1)),0)</f>
        <v>0</v>
      </c>
      <c r="D10" s="39">
        <f>IF(C8=0 / 24,0,IF((MOD(C8-D8,1))&lt;6 / 24,0,0.5 / 24))</f>
        <v>0</v>
      </c>
      <c r="E10" s="38">
        <f>IF(C10&gt;=(6/24),0.5 / 24,(IF(C8 = C9, IF(MOD(D9-D8, 1) &lt;6/24, 0, 0.5/24), IF((MOD(D9-C9,1))&lt;6/24,0,0.5/24))))</f>
        <v>0</v>
      </c>
      <c r="F10" s="63" t="str">
        <f>IF(F9=" "," ","(minoration repas nuit)")</f>
        <v xml:space="preserve"> </v>
      </c>
      <c r="G10" s="19"/>
      <c r="H10" s="20">
        <f>IF((E8+E9)&lt;10/24,0/24,(E8+E9)-10/24)</f>
        <v>0</v>
      </c>
    </row>
    <row r="11" spans="1:8" ht="17" customHeight="1">
      <c r="A11" s="34" t="str">
        <f>CHOOSE(WEEKDAY(A6+2,2),"LUNDI","MARDI","MERCREDI","JEUDI","VENDREDI","SAMEDI","DIMANCHE")</f>
        <v>MERCREDI</v>
      </c>
      <c r="B11" s="40" t="str">
        <f>IF(OR(C11&lt;&gt;0, C12 &lt;&gt;0), IF(MOD(C12-C11, 1) &lt; 0.041, "(pause réduite)", ""), "")</f>
        <v/>
      </c>
      <c r="C11" s="55">
        <f>'1er Ass'!C11</f>
        <v>0</v>
      </c>
      <c r="D11" s="35">
        <f>'1er Ass'!D11</f>
        <v>0</v>
      </c>
      <c r="E11" s="8">
        <f>IF(D11= "",0/24,((MOD(D12-D11,1))-MOD(C12-C11,1)))</f>
        <v>0</v>
      </c>
      <c r="F11" s="8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42">
        <f>IF(AND(D8=0, D9=0), 0/24, (IF(D11=0/24,0/24,IF((MOD(D11-D9,1))&gt;=11/24,0/24,11/24-(MOD(D11-D9,1))))))</f>
        <v>0</v>
      </c>
      <c r="H11" s="56">
        <f>'1er Ass'!H11</f>
        <v>0</v>
      </c>
    </row>
    <row r="12" spans="1:8" ht="17" customHeight="1">
      <c r="A12" s="36">
        <f>IF(AND(DATE(YEAR(A9),MONTH(A9),DAY(A9))&lt;DATE(YEAR(D3),MONTH(D3),DAY(D3)), A9&lt;&gt;""),DATE(YEAR(D2),MONTH(D2),DAY(D2)+2), "")</f>
        <v>43685</v>
      </c>
      <c r="B12" s="102" t="str">
        <f>IF(E12=0 / 24, "","(journée continue)")</f>
        <v/>
      </c>
      <c r="C12" s="55">
        <f>'1er Ass'!C12</f>
        <v>0</v>
      </c>
      <c r="D12" s="35">
        <f>'1er Ass'!D12</f>
        <v>0</v>
      </c>
      <c r="E12" s="68">
        <f>SUM(D13,E13)</f>
        <v>0</v>
      </c>
      <c r="F12" s="8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8"/>
      <c r="H12" s="17"/>
    </row>
    <row r="13" spans="1:8" ht="17" customHeight="1">
      <c r="A13" s="37">
        <f>IF(A12 = "", Deb, IF(A12&gt;DATE(YEAR(A12),3,31),IF(A12&lt;DATE(YEAR(A12),10,1),22/24,20/24),20/24))</f>
        <v>0.91666666666666663</v>
      </c>
      <c r="B13" s="63" t="str">
        <f>IF(A12 &lt;&gt; "", IF(A11="DIMANCHE", "(majoration dimanche)", ""), "")</f>
        <v/>
      </c>
      <c r="C13" s="38">
        <f>IF(C12 = C11, (MOD(D12-D11,1)),0)</f>
        <v>0</v>
      </c>
      <c r="D13" s="39">
        <f>IF(C11=0 / 24,0,IF((MOD(C11-D11,1))&lt;6 / 24,0,0.5 / 24))</f>
        <v>0</v>
      </c>
      <c r="E13" s="18">
        <f>IF(C13&gt;=(6/24),0.5 / 24,(IF(C11 = C12, IF(MOD(D12-D11, 1) &lt;6/24, 0, 0.5/24), IF((MOD(D12-C12,1))&lt;6/24,0,0.5/24))))</f>
        <v>0</v>
      </c>
      <c r="F13" s="63" t="str">
        <f>IF(F12=" "," ","(minoration repas nuit)")</f>
        <v xml:space="preserve"> </v>
      </c>
      <c r="G13" s="19"/>
      <c r="H13" s="20">
        <f>IF((E11+E12)&lt;10/24,0/24,(E11+E12)-10/24)</f>
        <v>0</v>
      </c>
    </row>
    <row r="14" spans="1:8" ht="17" customHeight="1">
      <c r="A14" s="34" t="str">
        <f>CHOOSE(WEEKDAY(A6+3,2),"LUNDI","MARDI","MERCREDI","JEUDI","VENDREDI","SAMEDI","DIMANCHE")</f>
        <v>JEUDI</v>
      </c>
      <c r="B14" s="40" t="str">
        <f>IF(OR(C14&lt;&gt;0, C15 &lt;&gt;0), IF(MOD(C15-C14, 1) &lt; 0.041, "(pause réduite)", ""), "")</f>
        <v/>
      </c>
      <c r="C14" s="55">
        <f>'1er Ass'!C14</f>
        <v>0</v>
      </c>
      <c r="D14" s="35">
        <f>'1er Ass'!D14</f>
        <v>0</v>
      </c>
      <c r="E14" s="8">
        <f>IF(D14= "",0/24,((MOD(D15-D14,1))-MOD(C15-C14,1)))</f>
        <v>0</v>
      </c>
      <c r="F14" s="8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8">
        <f>IF(AND(D11=0, D12=0), 0/24, (IF(D14=0/24,0/24,IF((MOD(D14-D12,1))&gt;= 11/24, 0/24, (11/24- (MOD(D14-D12,1)))))))</f>
        <v>0</v>
      </c>
      <c r="H14" s="56">
        <f>'1er Ass'!H14</f>
        <v>0</v>
      </c>
    </row>
    <row r="15" spans="1:8" ht="17" customHeight="1">
      <c r="A15" s="36">
        <f>IF(A12&lt;&gt; "", (IF(DATE(YEAR(A12),MONTH(A12),DAY(A12))&lt;DATE(YEAR(D3),MONTH(D3),DAY(D3)),DATE(YEAR(D2),MONTH(D2),(DAY(D2)+3)), "")), "")</f>
        <v>43686</v>
      </c>
      <c r="B15" s="102" t="str">
        <f>IF(E15=0 / 24, "","(journée continue)")</f>
        <v/>
      </c>
      <c r="C15" s="55">
        <f>'1er Ass'!C15</f>
        <v>0</v>
      </c>
      <c r="D15" s="35">
        <f>'1er Ass'!D15</f>
        <v>0</v>
      </c>
      <c r="E15" s="68">
        <f>SUM(D16,E16)</f>
        <v>0</v>
      </c>
      <c r="F15" s="8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16"/>
      <c r="H15" s="17"/>
    </row>
    <row r="16" spans="1:8" ht="17" customHeight="1">
      <c r="A16" s="37">
        <f>IF(A15 = "", Deb, IF(A15&gt;DATE(YEAR(A15),3,31),IF(A15&lt;DATE(YEAR(A15),10,1),22/24,20/24),20/24))</f>
        <v>0.91666666666666663</v>
      </c>
      <c r="B16" s="63" t="str">
        <f>IF(A15 &lt;&gt; "", IF(A14="DIMANCHE", "(majoration dimanche)", ""), "")</f>
        <v/>
      </c>
      <c r="C16" s="38">
        <f>IF(C14 = C15, (MOD(D15-D14,1)),0)</f>
        <v>0</v>
      </c>
      <c r="D16" s="39">
        <f>IF(C14=0 / 24,0,IF((MOD(C14-D14,1))&lt;6 / 24,0,0.5 / 24))</f>
        <v>0</v>
      </c>
      <c r="E16" s="18">
        <f>IF(C16&gt;=(6/24),0.5 / 24,(IF(C15 = C14, IF(MOD(D15-D14, 1) &lt;6/24, 0, 0.5/24), IF((MOD(D15-C15,1))&lt;6/24,0,0.5/24))))</f>
        <v>0</v>
      </c>
      <c r="F16" s="63" t="str">
        <f>IF(F15=" "," ","(minoration repas nuit)")</f>
        <v xml:space="preserve"> </v>
      </c>
      <c r="G16" s="19"/>
      <c r="H16" s="20">
        <f>IF((E14+E15)&lt;10/24,0/24,(E14+E15)-10/24)</f>
        <v>0</v>
      </c>
    </row>
    <row r="17" spans="1:8" ht="17" customHeight="1">
      <c r="A17" s="34" t="str">
        <f>CHOOSE(WEEKDAY(A6+4,2),"LUNDI","MARDI","MERCREDI","JEUDI","VENDREDI","SAMEDI","DIMANCHE")</f>
        <v>VENDREDI</v>
      </c>
      <c r="B17" s="40" t="str">
        <f>IF(OR(C17&lt;&gt;0, C18 &lt;&gt;0), IF(MOD(C18-C17, 1) &lt; 0.041, "(pause réduite)", ""), "")</f>
        <v/>
      </c>
      <c r="C17" s="55">
        <f>'1er Ass'!C17</f>
        <v>0</v>
      </c>
      <c r="D17" s="35">
        <f>'1er Ass'!D17</f>
        <v>0</v>
      </c>
      <c r="E17" s="8">
        <f>IF(D17="",0/24,((MOD(D18-D17,1))-MOD(C18-C17,1)))</f>
        <v>0</v>
      </c>
      <c r="F17" s="8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8">
        <f>IF(AND(D14=0, D15=0), 0/24,(IF(D17=0/24,0/24,IF((MOD(D17-D15,1))&gt;= 11/24,0/24,11/24-(MOD(D17-D15,1))))))</f>
        <v>0</v>
      </c>
      <c r="H17" s="56">
        <f>'1er Ass'!H17</f>
        <v>0</v>
      </c>
    </row>
    <row r="18" spans="1:8" ht="17" customHeight="1">
      <c r="A18" s="36">
        <f>IF(A15&lt;&gt; "", (IF(DATE(YEAR(A15),MONTH(A15),DAY(A15))&lt;DATE(YEAR(D3),MONTH(D3),DAY(D3)),DATE(YEAR(D2),MONTH(D2),(DAY(D2)+4)), "")), "")</f>
        <v>43687</v>
      </c>
      <c r="B18" s="102" t="str">
        <f>IF(E18=0 / 24, "","(journée continue)")</f>
        <v/>
      </c>
      <c r="C18" s="55">
        <f>'1er Ass'!C18</f>
        <v>0</v>
      </c>
      <c r="D18" s="35">
        <f>'1er Ass'!D18</f>
        <v>0</v>
      </c>
      <c r="E18" s="68">
        <f>SUM(D19,E19)</f>
        <v>0</v>
      </c>
      <c r="F18" s="8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16"/>
      <c r="H18" s="17"/>
    </row>
    <row r="19" spans="1:8" ht="17" customHeight="1">
      <c r="A19" s="37">
        <f>IF(A18 = "", Deb, IF(A18&gt;DATE(YEAR(A18),3,31),IF(A18&lt;DATE(YEAR(A18),10,1),22/24,20/24),20/24))</f>
        <v>0.91666666666666663</v>
      </c>
      <c r="B19" s="63" t="str">
        <f>IF(A18 &lt;&gt; "", IF(A17="DIMANCHE", "(majoration dimanche)", ""), "")</f>
        <v/>
      </c>
      <c r="C19" s="38">
        <f>IF(C17 = C18, (MOD(D18-D17,1)),0)</f>
        <v>0</v>
      </c>
      <c r="D19" s="39">
        <f>IF(C17=0 / 24,0,IF((MOD(C17-D17,1))&lt;6 / 24,0,0.5 / 24))</f>
        <v>0</v>
      </c>
      <c r="E19" s="18">
        <f>IF(C19&gt;=(6/24),0.5 / 24,(IF(C17 = C18, IF(MOD(D18-D17, 1) &lt;6/24, 0, 0.5/24), IF((MOD(D18-C18,1))&lt;6/24,0,0.5/24))))</f>
        <v>0</v>
      </c>
      <c r="F19" s="63" t="str">
        <f>IF(F18=" "," ","(minoration repas nuit)")</f>
        <v xml:space="preserve"> </v>
      </c>
      <c r="G19" s="19"/>
      <c r="H19" s="20">
        <f>IF((E17+E18)&lt;10/24,0/24,(E17+E18)-10/24)</f>
        <v>0</v>
      </c>
    </row>
    <row r="20" spans="1:8" ht="17" customHeight="1">
      <c r="A20" s="34" t="str">
        <f>CHOOSE(WEEKDAY(A6+5,2),"LUNDI","MARDI","MERCREDI","JEUDI","VENDREDI","SAMEDI","DIMANCHE")</f>
        <v>SAMEDI</v>
      </c>
      <c r="B20" s="40" t="str">
        <f>IF(OR(C20&lt;&gt;0, C21 &lt;&gt;0), IF(MOD(C21-C20, 1) &lt; 0.041, "(pause réduite)", ""), "")</f>
        <v/>
      </c>
      <c r="C20" s="55">
        <f>'1er Ass'!C20</f>
        <v>0</v>
      </c>
      <c r="D20" s="35">
        <f>'1er Ass'!D20</f>
        <v>0</v>
      </c>
      <c r="E20" s="8">
        <f>IF(D20= "",0/24,((MOD(D21-D20,1))-MOD(C21-C20,1)))</f>
        <v>0</v>
      </c>
      <c r="F20" s="8">
        <f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8">
        <f>IF(AND(D17=0, D18=0), 0/24, (IF(D20=0/24,0/24,IF((MOD(D20-D18,1))&gt;= 11/24,0/24,11/24-(MOD(D20-D18,1))))))</f>
        <v>0</v>
      </c>
      <c r="H20" s="56">
        <f>'1er Ass'!H20</f>
        <v>0</v>
      </c>
    </row>
    <row r="21" spans="1:8" ht="17" customHeight="1">
      <c r="A21" s="36" t="str">
        <f>IF(A18&lt;&gt; "", (IF(DATE(YEAR(A18),MONTH(A18),DAY(A18))&lt;DATE(YEAR(D3),MONTH(D3),DAY(D3)),DATE(YEAR(D2),MONTH(D2),(DAY(D2)+5)), "")), "")</f>
        <v/>
      </c>
      <c r="B21" s="102" t="str">
        <f>IF(E21=0 / 24, "","(journée continue)")</f>
        <v/>
      </c>
      <c r="C21" s="55">
        <f>'1er Ass'!C21</f>
        <v>0</v>
      </c>
      <c r="D21" s="35">
        <f>'1er Ass'!D21</f>
        <v>0</v>
      </c>
      <c r="E21" s="68">
        <f>SUM(D22,E22)</f>
        <v>0</v>
      </c>
      <c r="F21" s="8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16"/>
      <c r="H21" s="21"/>
    </row>
    <row r="22" spans="1:8" ht="17" customHeight="1">
      <c r="A22" s="37">
        <f>IF(A21 = "", Deb, IF(A21&gt;DATE(YEAR(A21),3,31),IF(A21&lt;DATE(YEAR(A21),10,1),22/24,20/24),20/24))</f>
        <v>0.91666666666666663</v>
      </c>
      <c r="B22" s="63" t="str">
        <f>IF(A21&lt;&gt;"",IF(A20="DIMANCHE","(majoration dimanche)",""), "")</f>
        <v/>
      </c>
      <c r="C22" s="38">
        <f>IF(C20 = C21, (MOD(D21-D20,1)),0)</f>
        <v>0</v>
      </c>
      <c r="D22" s="39">
        <f>IF(C20=0 / 24,0,IF((MOD(C20-D20,1))&lt;6 / 24,0,0.5 / 24))</f>
        <v>0</v>
      </c>
      <c r="E22" s="18">
        <f>IF(C22&gt;=(6/24),0.5 / 24,(IF(C21 = C20, IF(MOD(D21-D20, 1) &lt;6/24, 0, 0.5/24), IF((MOD(D21-C21,1))&lt;6/24,0,0.5/24))))</f>
        <v>0</v>
      </c>
      <c r="F22" s="4" t="str">
        <f>IF(F21=" "," ","(minoration repas nuit)")</f>
        <v xml:space="preserve"> </v>
      </c>
      <c r="G22" s="18">
        <f>SUM(H22+H19+H16+H13+H10+H7)</f>
        <v>0</v>
      </c>
      <c r="H22" s="20">
        <f>IF((E20+E21)&lt;10/24,0/24,(E20+E21)-10/24)</f>
        <v>0</v>
      </c>
    </row>
    <row r="23" spans="1:8" ht="17" customHeight="1" thickBot="1">
      <c r="A23" s="70"/>
      <c r="B23" s="71" t="str">
        <f>IF(OR(E5=0/24,E8=0/24,E11=0/24,E14=0/24,E17=0/24, E20=0/24),"","(maj 100% 6ème jour+recup.)")</f>
        <v/>
      </c>
      <c r="C23" s="57"/>
      <c r="D23" s="58" t="s">
        <v>11</v>
      </c>
      <c r="E23" s="59">
        <f>SUM(E5,E8,E11,E14,E17,E20)</f>
        <v>0</v>
      </c>
      <c r="F23" s="59">
        <f>SUM(F5,F6,F8,F9,F11,F12,F14,F15,F17,F18,F20,F21)</f>
        <v>0</v>
      </c>
      <c r="G23" s="60">
        <f>SUM(G5:G21)</f>
        <v>0</v>
      </c>
      <c r="H23" s="61">
        <f>SUM(H21,H20,H18,H17,H15,H14,H12,H11,H9,H8,H6,H5)</f>
        <v>0</v>
      </c>
    </row>
    <row r="24" spans="1:8" ht="17" customHeight="1" thickBot="1">
      <c r="A24" s="64">
        <f>IF(OR(D5=0, D5=""), IF(OR(D6=0, D6=""),  0, 36 / 60), 36/ 60)</f>
        <v>0</v>
      </c>
      <c r="B24" s="65">
        <f>IF(OR(D8=0, D8=""), IF(OR(D9=0, D9=""),  0, 36/60), 36/60)</f>
        <v>0</v>
      </c>
      <c r="C24" s="65">
        <f>IF(OR(D11=0, D11=""), IF(OR(D12=0, D12=""),  0, 36/60), 36/60)</f>
        <v>0</v>
      </c>
      <c r="D24" s="65">
        <f>IF(OR(D14=0, D14=""), IF(OR(D15=0, D15=""),  0, 36/ 60), 36/60)</f>
        <v>0</v>
      </c>
      <c r="E24" s="65">
        <f>IF(OR(D17=0, D17=""), IF(OR(D18=0, D18=""),  0, 36/ 60), 36/60)</f>
        <v>0</v>
      </c>
      <c r="F24" s="65">
        <f>IF(OR(D20=0, D20=""), IF(OR(D21=0, D21=""),  0, 36/60), 36/60)</f>
        <v>0</v>
      </c>
      <c r="G24" s="66"/>
      <c r="H24" s="67"/>
    </row>
    <row r="25" spans="1:8" s="3" customFormat="1" ht="17" thickBot="1">
      <c r="A25" s="82" t="str">
        <f>IF(A27 &lt; 0.9, "(Studio Agréé 21h à 6h)", "Studio de 22h à 6h")</f>
        <v>Studio de 22h à 6h</v>
      </c>
      <c r="B25" s="80">
        <f>IF(F6 &lt;&gt; " ", IF(F5&gt;8 / 24,F6+F5-8 / 24,0 /24),  IF(F5&gt;8 / 24,F5-8 / 24,0 /24))</f>
        <v>0</v>
      </c>
      <c r="C25" s="86" t="s">
        <v>40</v>
      </c>
      <c r="D25" s="99" t="s">
        <v>41</v>
      </c>
      <c r="E25" s="87">
        <f>-IF(AND(A24=0.6, B24 = 0.6, C24=0.6, D24=0.6, E24 = 0.6, F24 = 0.6), 4/24, (SUM(A24,B24,C24,D24,E24,F24,)/24))</f>
        <v>0</v>
      </c>
      <c r="F25" s="78"/>
      <c r="G25" s="78"/>
      <c r="H25" s="88"/>
    </row>
    <row r="26" spans="1:8" ht="17" customHeight="1" thickBot="1">
      <c r="A26" s="84" t="s">
        <v>2</v>
      </c>
      <c r="B26" s="80">
        <f>IF(F9 &lt;&gt; " ", IF(F8&gt;8 / 24,F9+F8-8 / 24,0 /24), IF(F8&gt;8 / 24,F8-8 / 24,0 /24) )</f>
        <v>0</v>
      </c>
      <c r="C26" s="94"/>
      <c r="D26" s="98" t="s">
        <v>42</v>
      </c>
      <c r="E26" s="95">
        <f>IF(E25 &lt; -0.13, IF(E23&lt;(56/24), 52/24, SUM(E23,E25)),  IF(E25=-0.125, (IF(E23&lt;(46/24), 43/24,SUM(E23,E25))),SUM(E23,E25)))</f>
        <v>0</v>
      </c>
      <c r="F26" s="79"/>
      <c r="G26" s="79"/>
      <c r="H26" s="83" t="s">
        <v>8</v>
      </c>
    </row>
    <row r="27" spans="1:8" ht="17" customHeight="1">
      <c r="A27" s="91">
        <f>IF(D2&gt;DATE(YEAR(D2),3,31),IF(D2&lt;DATE(YEAR(D2),10,1),22 / 24,20 / 24),20 /24)</f>
        <v>0.91666666666666663</v>
      </c>
      <c r="B27" s="80">
        <f>IF(F12 &lt;&gt; " ", IF(F11&gt;8 / 24,F12+F11-8 / 24,0 /24),IF(F11&gt;8 / 24,F11-8 / 24,0 /24))</f>
        <v>0</v>
      </c>
      <c r="C27" s="45"/>
      <c r="D27" s="45"/>
      <c r="E27" s="45"/>
      <c r="F27" s="45"/>
      <c r="G27" s="45"/>
      <c r="H27" s="83" t="s">
        <v>31</v>
      </c>
    </row>
    <row r="28" spans="1:8" ht="17" customHeight="1">
      <c r="A28" s="92" t="s">
        <v>1</v>
      </c>
      <c r="B28" s="80">
        <f>IF(F15 &lt;&gt; " ", IF(F14&gt;8 / 24,F15+F14-8 / 24,0 /24), IF(F14&gt;8 / 24,F14-8 / 24,0 /24))</f>
        <v>0</v>
      </c>
      <c r="C28" s="45"/>
      <c r="D28" s="45"/>
      <c r="E28" s="45"/>
      <c r="F28" s="45"/>
      <c r="G28" s="45"/>
      <c r="H28" s="89" t="s">
        <v>14</v>
      </c>
    </row>
    <row r="29" spans="1:8" s="3" customFormat="1" ht="17" customHeight="1" thickBot="1">
      <c r="A29" s="93">
        <v>0.25</v>
      </c>
      <c r="B29" s="80">
        <f>IF(F18 &lt;&gt; " ", IF(F17&gt;8 / 24,F18+F17-8 / 24,0 /24), IF(F17&gt;8 / 24,F17-8 / 24,0 /24))</f>
        <v>0</v>
      </c>
      <c r="C29" s="45"/>
      <c r="D29" s="45"/>
      <c r="E29" s="45"/>
      <c r="F29" s="45"/>
      <c r="G29" s="45"/>
      <c r="H29" s="90"/>
    </row>
    <row r="30" spans="1:8" s="3" customFormat="1" ht="17" customHeight="1">
      <c r="A30" s="85"/>
      <c r="B30" s="80">
        <f>IF(F21 &lt;&gt; " ", IF(F20&gt;8 / 24,F21+F20-8 / 24,0 /24), IF(F20&gt;8 / 24,F20-8 / 24,0 /24))</f>
        <v>0</v>
      </c>
      <c r="C30" s="45"/>
      <c r="D30" s="45"/>
      <c r="E30" s="45"/>
      <c r="F30" s="45"/>
      <c r="G30" s="45"/>
      <c r="H30" s="24"/>
    </row>
    <row r="31" spans="1:8" s="3" customFormat="1" ht="17" customHeight="1">
      <c r="A31" s="96"/>
      <c r="B31" s="81"/>
      <c r="C31" s="44"/>
      <c r="D31" s="44"/>
      <c r="E31" s="44"/>
      <c r="F31" s="44"/>
      <c r="G31" s="44"/>
      <c r="H31" s="97"/>
    </row>
    <row r="32" spans="1:8" s="3" customFormat="1" ht="17" customHeight="1">
      <c r="A32" s="1"/>
      <c r="B32" s="1"/>
      <c r="C32" s="1"/>
      <c r="D32" s="1"/>
      <c r="E32" s="1"/>
      <c r="F32" s="1"/>
      <c r="G32" s="1"/>
      <c r="H32" s="1"/>
    </row>
    <row r="33" spans="1:8" s="3" customFormat="1" ht="17" customHeight="1">
      <c r="A33" s="1"/>
      <c r="B33" s="1"/>
      <c r="C33" s="1"/>
      <c r="D33" s="1"/>
      <c r="E33" s="1"/>
      <c r="F33" s="1"/>
      <c r="G33" s="1"/>
      <c r="H33" s="1"/>
    </row>
    <row r="34" spans="1:8" s="3" customFormat="1" ht="17" customHeight="1">
      <c r="A34" s="1"/>
      <c r="B34" s="1"/>
      <c r="C34" s="1"/>
      <c r="D34" s="1"/>
      <c r="E34" s="1"/>
      <c r="F34" s="1"/>
      <c r="G34" s="1"/>
      <c r="H34" s="1"/>
    </row>
    <row r="35" spans="1:8" s="3" customFormat="1" ht="17" customHeight="1">
      <c r="A35" s="1"/>
      <c r="B35" s="1"/>
      <c r="C35" s="1"/>
      <c r="D35" s="1"/>
      <c r="E35" s="1"/>
      <c r="F35" s="1"/>
      <c r="G35" s="1"/>
    </row>
    <row r="36" spans="1:8" s="3" customFormat="1" ht="17" customHeight="1">
      <c r="A36" s="1"/>
      <c r="B36" s="1"/>
      <c r="C36" s="1"/>
      <c r="D36" s="1"/>
      <c r="E36" s="1"/>
      <c r="F36" s="1"/>
      <c r="G36" s="1"/>
      <c r="H36" s="1"/>
    </row>
    <row r="37" spans="1:8" s="3" customFormat="1" ht="17" customHeight="1">
      <c r="A37" s="1"/>
      <c r="B37" s="1"/>
      <c r="C37" s="1"/>
      <c r="D37" s="1"/>
      <c r="E37" s="1"/>
      <c r="F37" s="1"/>
      <c r="G37" s="1"/>
    </row>
    <row r="38" spans="1:8" ht="17" customHeight="1"/>
  </sheetData>
  <sheetProtection sheet="1" selectLockedCells="1"/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</vt:lpstr>
      <vt:lpstr>2nd Ass</vt:lpstr>
      <vt:lpstr>Tech Retour Image</vt:lpstr>
      <vt:lpstr>'1er Ass'!Deb</vt:lpstr>
      <vt:lpstr>'Tech Retour Image'!Deb</vt:lpstr>
      <vt:lpstr>Deb</vt:lpstr>
      <vt:lpstr>'1er Ass'!Fin</vt:lpstr>
      <vt:lpstr>'Tech Retour Image'!Fin</vt:lpstr>
      <vt:lpstr>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DUMONT, Ugo Villion, Jimmy Bourcier</dc:creator>
  <cp:keywords/>
  <dc:description/>
  <cp:lastModifiedBy>Microsoft Office User</cp:lastModifiedBy>
  <cp:lastPrinted>2022-09-16T12:03:43Z</cp:lastPrinted>
  <dcterms:created xsi:type="dcterms:W3CDTF">2002-09-15T20:21:11Z</dcterms:created>
  <dcterms:modified xsi:type="dcterms:W3CDTF">2023-08-08T12:03:26Z</dcterms:modified>
  <cp:category/>
</cp:coreProperties>
</file>