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262d6a9b86d85f4/Documents/Assistant Cam/AOA/"/>
    </mc:Choice>
  </mc:AlternateContent>
  <xr:revisionPtr revIDLastSave="6" documentId="13_ncr:1_{CD40AB02-0110-4414-ADDD-E8BE1A8AC149}" xr6:coauthVersionLast="47" xr6:coauthVersionMax="47" xr10:uidLastSave="{0ADF2BF1-E266-402C-B671-53E2D4E88DD6}"/>
  <bookViews>
    <workbookView xWindow="0" yWindow="180" windowWidth="21972" windowHeight="11712" activeTab="3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Ass'!$B$38</definedName>
    <definedName name="Deb" localSheetId="3">'Tech Retour Image'!$B$38</definedName>
    <definedName name="Deb">'2nd Ass'!$B$38</definedName>
    <definedName name="Fin" localSheetId="1">'1er Ass'!$B$40</definedName>
    <definedName name="Fin" localSheetId="3">'Tech Retour Image'!$B$40</definedName>
    <definedName name="Fin">'2nd Ass'!$B$40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1" l="1"/>
  <c r="F1" i="12"/>
  <c r="B25" i="11"/>
  <c r="D2" i="11"/>
  <c r="F42" i="11"/>
  <c r="B2" i="12"/>
  <c r="B1" i="12"/>
  <c r="B1" i="1"/>
  <c r="B2" i="1"/>
  <c r="C5" i="1"/>
  <c r="E21" i="12" l="1"/>
  <c r="E21" i="1"/>
  <c r="E21" i="11"/>
  <c r="B21" i="11" s="1"/>
  <c r="H22" i="12"/>
  <c r="H13" i="12"/>
  <c r="H10" i="12"/>
  <c r="H22" i="1"/>
  <c r="H13" i="1"/>
  <c r="H10" i="1"/>
  <c r="H26" i="11"/>
  <c r="E38" i="11" s="1"/>
  <c r="H22" i="11"/>
  <c r="H13" i="11"/>
  <c r="H10" i="11"/>
  <c r="G23" i="11" l="1"/>
  <c r="G20" i="11"/>
  <c r="G17" i="11"/>
  <c r="G14" i="11"/>
  <c r="G11" i="11"/>
  <c r="G8" i="11"/>
  <c r="F21" i="11" l="1"/>
  <c r="F18" i="11"/>
  <c r="G40" i="12"/>
  <c r="H30" i="12"/>
  <c r="G30" i="12"/>
  <c r="F30" i="12"/>
  <c r="F40" i="12" s="1"/>
  <c r="G27" i="12"/>
  <c r="D25" i="12"/>
  <c r="D24" i="12"/>
  <c r="C24" i="12"/>
  <c r="F24" i="12" s="1"/>
  <c r="H26" i="12"/>
  <c r="E38" i="12" s="1"/>
  <c r="D23" i="12"/>
  <c r="C23" i="12"/>
  <c r="D21" i="12"/>
  <c r="C21" i="12"/>
  <c r="F21" i="12" s="1"/>
  <c r="F22" i="12" s="1"/>
  <c r="D20" i="12"/>
  <c r="F27" i="12" s="1"/>
  <c r="C20" i="12"/>
  <c r="D22" i="12" s="1"/>
  <c r="D18" i="12"/>
  <c r="C18" i="12"/>
  <c r="D17" i="12"/>
  <c r="C17" i="12"/>
  <c r="D19" i="12" s="1"/>
  <c r="D16" i="12"/>
  <c r="D15" i="12"/>
  <c r="C15" i="12"/>
  <c r="D14" i="12"/>
  <c r="C14" i="12"/>
  <c r="F12" i="12"/>
  <c r="D12" i="12"/>
  <c r="G14" i="12" s="1"/>
  <c r="C12" i="12"/>
  <c r="D11" i="12"/>
  <c r="C11" i="12"/>
  <c r="D13" i="12" s="1"/>
  <c r="B11" i="12"/>
  <c r="D9" i="12"/>
  <c r="C9" i="12"/>
  <c r="D8" i="12"/>
  <c r="B27" i="12" s="1"/>
  <c r="C8" i="12"/>
  <c r="D10" i="12" s="1"/>
  <c r="D7" i="12"/>
  <c r="D6" i="12"/>
  <c r="C6" i="12"/>
  <c r="D5" i="12"/>
  <c r="C5" i="12"/>
  <c r="B5" i="12" s="1"/>
  <c r="D2" i="12"/>
  <c r="A6" i="12" s="1"/>
  <c r="D1" i="12"/>
  <c r="G40" i="1"/>
  <c r="H30" i="1"/>
  <c r="G30" i="1"/>
  <c r="F30" i="1"/>
  <c r="F40" i="1" s="1"/>
  <c r="C24" i="1"/>
  <c r="F24" i="1" s="1"/>
  <c r="F25" i="1" s="1"/>
  <c r="C23" i="1"/>
  <c r="D24" i="1"/>
  <c r="D23" i="1"/>
  <c r="D20" i="1"/>
  <c r="D25" i="1"/>
  <c r="H26" i="1"/>
  <c r="E38" i="1" s="1"/>
  <c r="G38" i="1" s="1"/>
  <c r="B38" i="11"/>
  <c r="G17" i="12" l="1"/>
  <c r="D27" i="12"/>
  <c r="C16" i="12"/>
  <c r="E16" i="12" s="1"/>
  <c r="E14" i="12"/>
  <c r="H16" i="12" s="1"/>
  <c r="A27" i="12"/>
  <c r="C7" i="12"/>
  <c r="E7" i="12" s="1"/>
  <c r="E6" i="12" s="1"/>
  <c r="B6" i="12" s="1"/>
  <c r="E11" i="12"/>
  <c r="B20" i="12"/>
  <c r="C19" i="12"/>
  <c r="E19" i="12" s="1"/>
  <c r="E18" i="12" s="1"/>
  <c r="B18" i="12" s="1"/>
  <c r="C10" i="12"/>
  <c r="E10" i="12" s="1"/>
  <c r="E9" i="12" s="1"/>
  <c r="B9" i="12" s="1"/>
  <c r="C25" i="1"/>
  <c r="E25" i="1" s="1"/>
  <c r="E24" i="1" s="1"/>
  <c r="B24" i="1" s="1"/>
  <c r="C25" i="12"/>
  <c r="E25" i="12" s="1"/>
  <c r="E24" i="12" s="1"/>
  <c r="B24" i="12" s="1"/>
  <c r="G27" i="1"/>
  <c r="E23" i="12"/>
  <c r="H25" i="12" s="1"/>
  <c r="E23" i="1"/>
  <c r="H25" i="1" s="1"/>
  <c r="G23" i="12"/>
  <c r="F27" i="1"/>
  <c r="A20" i="12"/>
  <c r="A11" i="12"/>
  <c r="B21" i="12"/>
  <c r="F25" i="12"/>
  <c r="E12" i="12"/>
  <c r="B12" i="12" s="1"/>
  <c r="E15" i="12"/>
  <c r="B15" i="12" s="1"/>
  <c r="H38" i="12"/>
  <c r="G38" i="12"/>
  <c r="F38" i="12"/>
  <c r="C27" i="12"/>
  <c r="H40" i="12"/>
  <c r="B38" i="12"/>
  <c r="B36" i="12" s="1"/>
  <c r="C13" i="12"/>
  <c r="E13" i="12" s="1"/>
  <c r="C22" i="12"/>
  <c r="E22" i="12" s="1"/>
  <c r="E27" i="12"/>
  <c r="A8" i="12"/>
  <c r="F9" i="12"/>
  <c r="A17" i="12"/>
  <c r="F18" i="12"/>
  <c r="E20" i="12"/>
  <c r="B8" i="12"/>
  <c r="B17" i="12"/>
  <c r="G11" i="12"/>
  <c r="F13" i="12"/>
  <c r="G20" i="12"/>
  <c r="E5" i="12"/>
  <c r="H7" i="12" s="1"/>
  <c r="D3" i="12"/>
  <c r="A9" i="12" s="1"/>
  <c r="F6" i="12"/>
  <c r="E8" i="12"/>
  <c r="A14" i="12"/>
  <c r="F15" i="12"/>
  <c r="E17" i="12"/>
  <c r="H19" i="12" s="1"/>
  <c r="A5" i="12"/>
  <c r="B7" i="12" s="1"/>
  <c r="A7" i="12"/>
  <c r="F5" i="12" s="1"/>
  <c r="B14" i="12"/>
  <c r="G8" i="12"/>
  <c r="F38" i="1"/>
  <c r="H40" i="1"/>
  <c r="H38" i="1"/>
  <c r="B23" i="12" l="1"/>
  <c r="H27" i="12"/>
  <c r="B26" i="12" s="1"/>
  <c r="B23" i="1"/>
  <c r="A23" i="12"/>
  <c r="A10" i="12"/>
  <c r="F8" i="12" s="1"/>
  <c r="A12" i="12"/>
  <c r="B10" i="12"/>
  <c r="B28" i="12"/>
  <c r="F7" i="12"/>
  <c r="F19" i="12"/>
  <c r="F10" i="12"/>
  <c r="E26" i="12"/>
  <c r="G25" i="12"/>
  <c r="E35" i="12" s="1"/>
  <c r="E39" i="12"/>
  <c r="F16" i="12"/>
  <c r="G26" i="12"/>
  <c r="E37" i="12" s="1"/>
  <c r="E42" i="12" l="1"/>
  <c r="G37" i="12"/>
  <c r="H37" i="12"/>
  <c r="F37" i="12"/>
  <c r="A13" i="12"/>
  <c r="F11" i="12" s="1"/>
  <c r="B30" i="12" s="1"/>
  <c r="B13" i="12"/>
  <c r="A15" i="12"/>
  <c r="G35" i="12"/>
  <c r="F35" i="12"/>
  <c r="H35" i="12"/>
  <c r="B29" i="12"/>
  <c r="F39" i="12"/>
  <c r="G39" i="12"/>
  <c r="H39" i="12"/>
  <c r="E34" i="12"/>
  <c r="E32" i="12"/>
  <c r="E33" i="12"/>
  <c r="E31" i="12"/>
  <c r="H42" i="12" l="1"/>
  <c r="G42" i="12"/>
  <c r="E43" i="12"/>
  <c r="A18" i="12"/>
  <c r="B16" i="12"/>
  <c r="A16" i="12"/>
  <c r="F14" i="12" s="1"/>
  <c r="B31" i="12" s="1"/>
  <c r="G31" i="12"/>
  <c r="F31" i="12"/>
  <c r="H31" i="12"/>
  <c r="G33" i="12"/>
  <c r="F33" i="12"/>
  <c r="H33" i="12"/>
  <c r="H32" i="12"/>
  <c r="F32" i="12"/>
  <c r="G32" i="12"/>
  <c r="A31" i="12"/>
  <c r="F34" i="12"/>
  <c r="G34" i="12"/>
  <c r="H34" i="12"/>
  <c r="A32" i="12" l="1"/>
  <c r="A21" i="12"/>
  <c r="B19" i="12"/>
  <c r="A19" i="12"/>
  <c r="F17" i="12" s="1"/>
  <c r="B32" i="12" s="1"/>
  <c r="A22" i="12" l="1"/>
  <c r="A24" i="12"/>
  <c r="A25" i="12" s="1"/>
  <c r="F23" i="12" s="1"/>
  <c r="B22" i="12"/>
  <c r="A33" i="12"/>
  <c r="A34" i="12" s="1"/>
  <c r="B25" i="12" l="1"/>
  <c r="E41" i="12" s="1"/>
  <c r="F41" i="12" s="1"/>
  <c r="F42" i="12"/>
  <c r="F20" i="12" l="1"/>
  <c r="B34" i="12"/>
  <c r="B33" i="12" l="1"/>
  <c r="F26" i="12"/>
  <c r="F36" i="12" l="1"/>
  <c r="F43" i="12" s="1"/>
  <c r="E36" i="12"/>
  <c r="G36" i="12" l="1"/>
  <c r="G43" i="12" s="1"/>
  <c r="H36" i="12"/>
  <c r="H43" i="12" s="1"/>
  <c r="G27" i="11" l="1"/>
  <c r="D21" i="1"/>
  <c r="G23" i="1" s="1"/>
  <c r="C21" i="1"/>
  <c r="C20" i="1"/>
  <c r="F21" i="1" s="1"/>
  <c r="D18" i="1"/>
  <c r="C18" i="1"/>
  <c r="F18" i="1" s="1"/>
  <c r="D17" i="1"/>
  <c r="E27" i="1" s="1"/>
  <c r="C17" i="1"/>
  <c r="D19" i="1" s="1"/>
  <c r="D15" i="1"/>
  <c r="C15" i="1"/>
  <c r="D14" i="1"/>
  <c r="D27" i="1" s="1"/>
  <c r="C14" i="1"/>
  <c r="D16" i="1" s="1"/>
  <c r="D12" i="1"/>
  <c r="C12" i="1"/>
  <c r="D11" i="1"/>
  <c r="C27" i="1" s="1"/>
  <c r="C11" i="1"/>
  <c r="D9" i="1"/>
  <c r="C9" i="1"/>
  <c r="B8" i="1" s="1"/>
  <c r="D8" i="1"/>
  <c r="C8" i="1"/>
  <c r="D6" i="1"/>
  <c r="C6" i="1"/>
  <c r="D5" i="1"/>
  <c r="A27" i="1" s="1"/>
  <c r="D7" i="1"/>
  <c r="D2" i="1"/>
  <c r="B38" i="1" s="1"/>
  <c r="B36" i="1" s="1"/>
  <c r="D1" i="1"/>
  <c r="D3" i="11"/>
  <c r="D22" i="1"/>
  <c r="C22" i="1"/>
  <c r="E22" i="1" s="1"/>
  <c r="E20" i="1"/>
  <c r="B20" i="1"/>
  <c r="E17" i="1"/>
  <c r="H19" i="1" s="1"/>
  <c r="B17" i="1"/>
  <c r="G14" i="1"/>
  <c r="B14" i="1"/>
  <c r="D13" i="1"/>
  <c r="F12" i="1"/>
  <c r="B11" i="1"/>
  <c r="D10" i="1"/>
  <c r="B5" i="1"/>
  <c r="F27" i="11"/>
  <c r="A27" i="11"/>
  <c r="D27" i="11"/>
  <c r="D22" i="11"/>
  <c r="C22" i="11"/>
  <c r="E22" i="11" s="1"/>
  <c r="E14" i="1" l="1"/>
  <c r="H16" i="1" s="1"/>
  <c r="G17" i="1"/>
  <c r="E5" i="1"/>
  <c r="H7" i="1" s="1"/>
  <c r="C7" i="1"/>
  <c r="E7" i="1" s="1"/>
  <c r="F9" i="1"/>
  <c r="F10" i="1" s="1"/>
  <c r="B27" i="1"/>
  <c r="H27" i="1" s="1"/>
  <c r="B26" i="1" s="1"/>
  <c r="G8" i="1"/>
  <c r="E11" i="1"/>
  <c r="C13" i="1"/>
  <c r="E13" i="1" s="1"/>
  <c r="G20" i="1"/>
  <c r="G11" i="1"/>
  <c r="E8" i="1"/>
  <c r="C10" i="1"/>
  <c r="E10" i="1" s="1"/>
  <c r="E9" i="1" s="1"/>
  <c r="B9" i="1" s="1"/>
  <c r="D3" i="1"/>
  <c r="F13" i="1"/>
  <c r="F22" i="1"/>
  <c r="C19" i="1"/>
  <c r="E19" i="1" s="1"/>
  <c r="E18" i="1" s="1"/>
  <c r="B18" i="1" s="1"/>
  <c r="F15" i="1"/>
  <c r="C16" i="1"/>
  <c r="E16" i="1" s="1"/>
  <c r="E15" i="1" s="1"/>
  <c r="B15" i="1" s="1"/>
  <c r="E12" i="1"/>
  <c r="B12" i="1" s="1"/>
  <c r="F6" i="1"/>
  <c r="E6" i="1"/>
  <c r="A9" i="1"/>
  <c r="A23" i="1" s="1"/>
  <c r="A6" i="1"/>
  <c r="F19" i="1"/>
  <c r="E23" i="11"/>
  <c r="H25" i="11" s="1"/>
  <c r="C25" i="11"/>
  <c r="E25" i="11" s="1"/>
  <c r="D25" i="11"/>
  <c r="D19" i="11"/>
  <c r="D16" i="11"/>
  <c r="D13" i="11"/>
  <c r="D10" i="11"/>
  <c r="D7" i="11"/>
  <c r="G26" i="1" l="1"/>
  <c r="E37" i="1" s="1"/>
  <c r="H37" i="1" s="1"/>
  <c r="E42" i="1"/>
  <c r="G42" i="1" s="1"/>
  <c r="G25" i="1"/>
  <c r="E35" i="1" s="1"/>
  <c r="F35" i="1" s="1"/>
  <c r="E39" i="1"/>
  <c r="F39" i="1" s="1"/>
  <c r="E26" i="1"/>
  <c r="E32" i="1" s="1"/>
  <c r="F16" i="1"/>
  <c r="B21" i="1"/>
  <c r="F7" i="1"/>
  <c r="A12" i="1"/>
  <c r="A10" i="1"/>
  <c r="F8" i="1" s="1"/>
  <c r="B29" i="1" s="1"/>
  <c r="A7" i="1"/>
  <c r="F5" i="1" s="1"/>
  <c r="B28" i="1" s="1"/>
  <c r="A17" i="1"/>
  <c r="A8" i="1"/>
  <c r="B10" i="1" s="1"/>
  <c r="A20" i="1"/>
  <c r="A11" i="1"/>
  <c r="A5" i="1"/>
  <c r="B7" i="1" s="1"/>
  <c r="A14" i="1"/>
  <c r="B6" i="1"/>
  <c r="E24" i="11"/>
  <c r="B24" i="11" s="1"/>
  <c r="B23" i="11"/>
  <c r="H35" i="1" l="1"/>
  <c r="G35" i="1"/>
  <c r="G37" i="1"/>
  <c r="F37" i="1"/>
  <c r="H39" i="1"/>
  <c r="H42" i="1"/>
  <c r="G39" i="1"/>
  <c r="E34" i="1"/>
  <c r="F34" i="1" s="1"/>
  <c r="E33" i="1"/>
  <c r="H33" i="1" s="1"/>
  <c r="E31" i="1"/>
  <c r="G31" i="1" s="1"/>
  <c r="E43" i="1"/>
  <c r="F32" i="1"/>
  <c r="G32" i="1"/>
  <c r="H32" i="1"/>
  <c r="B13" i="1"/>
  <c r="A15" i="1"/>
  <c r="A13" i="1"/>
  <c r="F11" i="1" s="1"/>
  <c r="B30" i="1" s="1"/>
  <c r="G34" i="1" l="1"/>
  <c r="H34" i="1"/>
  <c r="A31" i="1"/>
  <c r="A32" i="1" s="1"/>
  <c r="A33" i="1" s="1"/>
  <c r="A34" i="1" s="1"/>
  <c r="F42" i="1" s="1"/>
  <c r="F33" i="1"/>
  <c r="G33" i="1"/>
  <c r="F31" i="1"/>
  <c r="H31" i="1"/>
  <c r="B16" i="1"/>
  <c r="A18" i="1"/>
  <c r="A16" i="1"/>
  <c r="F14" i="1" s="1"/>
  <c r="B31" i="1" s="1"/>
  <c r="E17" i="11"/>
  <c r="H19" i="11" s="1"/>
  <c r="F30" i="11"/>
  <c r="A21" i="1" l="1"/>
  <c r="A24" i="1" s="1"/>
  <c r="B19" i="1"/>
  <c r="A19" i="1"/>
  <c r="F17" i="1" s="1"/>
  <c r="B32" i="1" s="1"/>
  <c r="B8" i="11"/>
  <c r="E5" i="11"/>
  <c r="H7" i="11" s="1"/>
  <c r="B11" i="11"/>
  <c r="B5" i="11"/>
  <c r="B14" i="11"/>
  <c r="B17" i="11"/>
  <c r="B20" i="11"/>
  <c r="A25" i="1" l="1"/>
  <c r="B25" i="1"/>
  <c r="B22" i="1"/>
  <c r="E41" i="1" s="1"/>
  <c r="F41" i="1" s="1"/>
  <c r="A22" i="1"/>
  <c r="E14" i="11"/>
  <c r="H16" i="11" s="1"/>
  <c r="G25" i="11" s="1"/>
  <c r="E35" i="11" s="1"/>
  <c r="F23" i="1" l="1"/>
  <c r="B34" i="1" s="1"/>
  <c r="F20" i="1"/>
  <c r="B33" i="1" l="1"/>
  <c r="F26" i="1"/>
  <c r="E27" i="11"/>
  <c r="C27" i="11"/>
  <c r="B27" i="11"/>
  <c r="H27" i="11" l="1"/>
  <c r="B26" i="11" s="1"/>
  <c r="G26" i="11"/>
  <c r="F36" i="1"/>
  <c r="F43" i="1" s="1"/>
  <c r="E36" i="1"/>
  <c r="H30" i="11"/>
  <c r="H40" i="11" s="1"/>
  <c r="G30" i="11"/>
  <c r="G40" i="11" s="1"/>
  <c r="F38" i="11"/>
  <c r="E20" i="11"/>
  <c r="C19" i="11"/>
  <c r="E19" i="11" s="1"/>
  <c r="C16" i="11"/>
  <c r="E16" i="11" s="1"/>
  <c r="C13" i="11"/>
  <c r="E13" i="11" s="1"/>
  <c r="E11" i="11"/>
  <c r="C10" i="11"/>
  <c r="E10" i="11" s="1"/>
  <c r="E8" i="11"/>
  <c r="C7" i="11"/>
  <c r="E7" i="11" s="1"/>
  <c r="E42" i="11" l="1"/>
  <c r="E26" i="11"/>
  <c r="G36" i="1"/>
  <c r="G43" i="1" s="1"/>
  <c r="H36" i="1"/>
  <c r="H43" i="1" s="1"/>
  <c r="E18" i="11"/>
  <c r="B18" i="11" s="1"/>
  <c r="E12" i="11"/>
  <c r="E15" i="11"/>
  <c r="B15" i="11" s="1"/>
  <c r="E37" i="11"/>
  <c r="E9" i="11"/>
  <c r="E6" i="11"/>
  <c r="G38" i="11"/>
  <c r="H38" i="11"/>
  <c r="F40" i="11"/>
  <c r="E34" i="11" l="1"/>
  <c r="A31" i="11" s="1"/>
  <c r="E33" i="11"/>
  <c r="E32" i="11"/>
  <c r="E43" i="11"/>
  <c r="E39" i="11"/>
  <c r="G37" i="11"/>
  <c r="F37" i="11"/>
  <c r="E31" i="11"/>
  <c r="B9" i="11"/>
  <c r="B6" i="11"/>
  <c r="B12" i="11"/>
  <c r="H42" i="11"/>
  <c r="G42" i="11"/>
  <c r="H37" i="11"/>
  <c r="A32" i="11" l="1"/>
  <c r="F39" i="11"/>
  <c r="H39" i="11"/>
  <c r="G39" i="11"/>
  <c r="H35" i="11"/>
  <c r="G33" i="11"/>
  <c r="H32" i="11" l="1"/>
  <c r="F31" i="11"/>
  <c r="F34" i="11"/>
  <c r="G32" i="11"/>
  <c r="F32" i="11"/>
  <c r="F35" i="11"/>
  <c r="G35" i="11"/>
  <c r="H34" i="11"/>
  <c r="H31" i="11"/>
  <c r="G31" i="11"/>
  <c r="G34" i="11"/>
  <c r="F33" i="11"/>
  <c r="H33" i="11"/>
  <c r="A33" i="11" l="1"/>
  <c r="A34" i="11" s="1"/>
  <c r="A6" i="11" l="1"/>
  <c r="A9" i="11" s="1"/>
  <c r="A23" i="11" l="1"/>
  <c r="A10" i="11"/>
  <c r="A7" i="11"/>
  <c r="F5" i="11" s="1"/>
  <c r="A11" i="11"/>
  <c r="A5" i="11"/>
  <c r="B7" i="11" s="1"/>
  <c r="A17" i="11"/>
  <c r="A20" i="11"/>
  <c r="A14" i="11"/>
  <c r="A8" i="11"/>
  <c r="F6" i="11" l="1"/>
  <c r="A12" i="11"/>
  <c r="B10" i="11"/>
  <c r="F8" i="11" l="1"/>
  <c r="F7" i="11"/>
  <c r="B28" i="11"/>
  <c r="A15" i="11"/>
  <c r="A13" i="11"/>
  <c r="F11" i="11" s="1"/>
  <c r="F9" i="11"/>
  <c r="B13" i="11"/>
  <c r="B16" i="11" l="1"/>
  <c r="A16" i="11"/>
  <c r="F14" i="11" s="1"/>
  <c r="A18" i="11"/>
  <c r="F12" i="11"/>
  <c r="F10" i="11"/>
  <c r="B29" i="11"/>
  <c r="A21" i="11" l="1"/>
  <c r="A24" i="11" s="1"/>
  <c r="A25" i="11" s="1"/>
  <c r="A19" i="11"/>
  <c r="F17" i="11" s="1"/>
  <c r="B19" i="11"/>
  <c r="F15" i="11"/>
  <c r="F16" i="11" s="1"/>
  <c r="F13" i="11"/>
  <c r="B30" i="11"/>
  <c r="B22" i="11" l="1"/>
  <c r="A22" i="11"/>
  <c r="F20" i="11" s="1"/>
  <c r="F24" i="11"/>
  <c r="B31" i="11"/>
  <c r="B33" i="11" l="1"/>
  <c r="F23" i="11"/>
  <c r="E41" i="11"/>
  <c r="F41" i="11" s="1"/>
  <c r="F22" i="11"/>
  <c r="F19" i="11"/>
  <c r="B32" i="11"/>
  <c r="B36" i="11"/>
  <c r="F26" i="11" l="1"/>
  <c r="F25" i="11"/>
  <c r="B34" i="11"/>
  <c r="F36" i="11" l="1"/>
  <c r="F43" i="11" s="1"/>
  <c r="E36" i="11" l="1"/>
  <c r="G36" i="11" s="1"/>
  <c r="G43" i="11" s="1"/>
  <c r="H36" i="11" l="1"/>
  <c r="H43" i="11" s="1"/>
</calcChain>
</file>

<file path=xl/sharedStrings.xml><?xml version="1.0" encoding="utf-8"?>
<sst xmlns="http://schemas.openxmlformats.org/spreadsheetml/2006/main" count="152" uniqueCount="70">
  <si>
    <t>HEURES SIMPLES</t>
  </si>
  <si>
    <t>Tarif semaine 35H</t>
  </si>
  <si>
    <t>Date</t>
  </si>
  <si>
    <t>MAJ JOUR FERIE</t>
  </si>
  <si>
    <t>Tarif Horaire</t>
  </si>
  <si>
    <t>TARIFS</t>
  </si>
  <si>
    <t>HEURES SUP +25 %</t>
  </si>
  <si>
    <t>HEURES SUP +50 %</t>
  </si>
  <si>
    <t>à</t>
  </si>
  <si>
    <t>Heures de nuit :</t>
  </si>
  <si>
    <t>Heures de Nuit</t>
  </si>
  <si>
    <t>Equipe :</t>
  </si>
  <si>
    <t>Noms :</t>
  </si>
  <si>
    <t>PRODUCTION :</t>
  </si>
  <si>
    <t>FILM :</t>
  </si>
  <si>
    <t>Tarifs SEMAINE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</si>
  <si>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</si>
  <si>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</si>
  <si>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</si>
  <si>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t>SALAIRE SEMAINE :</t>
  </si>
  <si>
    <t>de 35h à 43h (8h)</t>
  </si>
  <si>
    <t>HEURES SUP +75 %</t>
  </si>
  <si>
    <t>MAJ AU-DELA DE 10H/JOUR</t>
  </si>
  <si>
    <t>de 43h à 48h (5h)</t>
  </si>
  <si>
    <t>au-delà de 48h</t>
  </si>
  <si>
    <t>HEURES DE TRANSPORT</t>
  </si>
  <si>
    <r>
      <rPr>
        <b/>
        <sz val="8"/>
        <color theme="2" tint="-0.749992370372631"/>
        <rFont val="Arial"/>
        <family val="2"/>
      </rPr>
      <t xml:space="preserve">(50% + Maj 100% au-delà 8h/Nuit) </t>
    </r>
    <r>
      <rPr>
        <b/>
        <sz val="12"/>
        <color theme="2" tint="-0.749992370372631"/>
        <rFont val="Arial"/>
        <family val="2"/>
      </rPr>
      <t>MAJ HEURES NUIT</t>
    </r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</si>
  <si>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</si>
  <si>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>MAJ HEURES ANTICIPEES 100%</t>
  </si>
  <si>
    <t xml:space="preserve">Remplir la partie "infos" à titre indicatif: Semaine, Prod, Film etc... </t>
  </si>
  <si>
    <t>1er Ass Op</t>
  </si>
  <si>
    <r>
      <rPr>
        <b/>
        <sz val="8"/>
        <color theme="2" tint="-0.749992370372631"/>
        <rFont val="Arial"/>
        <family val="2"/>
      </rPr>
      <t>(semaine 43h mini)</t>
    </r>
    <r>
      <rPr>
        <b/>
        <sz val="12"/>
        <color theme="2" tint="-0.749992370372631"/>
        <rFont val="Arial"/>
        <family val="2"/>
      </rPr>
      <t xml:space="preserve"> HEURES EQUIVALENCE</t>
    </r>
  </si>
  <si>
    <t>Annexe II</t>
  </si>
  <si>
    <t>Caméra</t>
  </si>
  <si>
    <t>Spécial</t>
  </si>
  <si>
    <t>MAJ DIMANCHE</t>
  </si>
  <si>
    <t>Semaine N°</t>
  </si>
  <si>
    <t>"Production"</t>
  </si>
  <si>
    <t>"Film"</t>
  </si>
  <si>
    <t>John Smith</t>
  </si>
  <si>
    <t>Attention, le total d'heures indiqué en rouge dans Salaire Semaine correspond au total après le retrait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</si>
  <si>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</si>
  <si>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</si>
  <si>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</si>
  <si>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</si>
  <si>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</si>
  <si>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</si>
  <si>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</si>
  <si>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</si>
  <si>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</si>
  <si>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</si>
  <si>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</si>
  <si>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</si>
  <si>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</si>
  <si>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</si>
  <si>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</si>
  <si>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</si>
  <si>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</si>
  <si>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</si>
  <si>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</si>
  <si>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>MAJ JOURNEE CONTINUE</t>
  </si>
  <si>
    <t xml:space="preserve">Somme des Heures
</t>
  </si>
  <si>
    <t>La feuille prend en compte la période des heures de nuit (été ou hiver) en se basant sur les dates de la</t>
  </si>
  <si>
    <r>
      <rPr>
        <b/>
        <sz val="11"/>
        <rFont val="Geneva"/>
      </rPr>
      <t>Attention : la feuille est verouillée, il ne faut remplir QUE les champs qui sont indiqués en italique</t>
    </r>
    <r>
      <rPr>
        <sz val="11"/>
        <rFont val="Geneva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</si>
  <si>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Geneva"/>
      </rPr>
      <t>20h et 6h du 1er octobre au 31 mars</t>
    </r>
    <r>
      <rPr>
        <sz val="11"/>
        <color theme="1"/>
        <rFont val="Geneva"/>
      </rPr>
      <t xml:space="preserve">, </t>
    </r>
  </si>
  <si>
    <r>
      <t xml:space="preserve">puis de </t>
    </r>
    <r>
      <rPr>
        <b/>
        <sz val="11"/>
        <color theme="1"/>
        <rFont val="Geneva"/>
      </rPr>
      <t>22h à 6h du 1er avril au 30 septembre</t>
    </r>
    <r>
      <rPr>
        <sz val="11"/>
        <color theme="1"/>
        <rFont val="Geneva"/>
      </rPr>
      <t xml:space="preserve">. </t>
    </r>
  </si>
  <si>
    <t>Matrice d'heures Cinéma - AOA - Version 2.0 - MaJ du 02/06/2024 - Tarifs : avenant du 1er mars 2024</t>
  </si>
  <si>
    <t xml:space="preserve">Version 2.0 : Développement sous Excel 2019 </t>
  </si>
  <si>
    <r>
      <t xml:space="preserve">Rentrer la date du début de la semaine de travail </t>
    </r>
    <r>
      <rPr>
        <b/>
        <sz val="11"/>
        <rFont val="Geneva"/>
      </rPr>
      <t>en respectant le Format "=DATE(aaaa;m;j)"</t>
    </r>
  </si>
  <si>
    <t>Par exemple : saisir =DATE(2024;6;3) pour une semaine allant du 03/06/2024 au 09/06/2024.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</si>
</sst>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)\ _€_ ;_ * \(#,##0.00\)\ _€_ ;_ * &quot;-&quot;??_)\ _€_ ;_ @_ "/>
    <numFmt numFmtId="165" formatCode="[h]:mm"/>
    <numFmt numFmtId="166" formatCode="h:mm;@"/>
    <numFmt numFmtId="167" formatCode="\ 0,;\-0,;;\ @"/>
    <numFmt numFmtId="168" formatCode="#,##0.00\ &quot;€&quot;"/>
  </numFmts>
  <fonts count="52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b/>
      <sz val="8"/>
      <color theme="2" tint="-0.749992370372631"/>
      <name val="Arial"/>
      <family val="2"/>
    </font>
    <font>
      <sz val="9"/>
      <color theme="7" tint="-0.499984740745262"/>
      <name val="Arial"/>
      <family val="2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3" tint="0.79998168889431442"/>
      <name val="Arial"/>
      <family val="2"/>
    </font>
    <font>
      <i/>
      <sz val="12"/>
      <name val="Geneva"/>
      <family val="2"/>
    </font>
    <font>
      <sz val="11"/>
      <name val="Century Gothic"/>
      <family val="1"/>
    </font>
    <font>
      <sz val="11"/>
      <name val="Geneva"/>
      <family val="2"/>
    </font>
    <font>
      <sz val="11"/>
      <name val="Geneva"/>
      <family val="2"/>
    </font>
    <font>
      <i/>
      <sz val="12"/>
      <name val="Geneva"/>
    </font>
    <font>
      <b/>
      <sz val="20"/>
      <name val="Geneva"/>
    </font>
    <font>
      <sz val="20"/>
      <name val="Geneva"/>
    </font>
    <font>
      <i/>
      <sz val="11"/>
      <name val="Geneva"/>
    </font>
    <font>
      <sz val="11"/>
      <name val="Geneva"/>
    </font>
    <font>
      <b/>
      <sz val="11"/>
      <name val="Geneva"/>
    </font>
    <font>
      <sz val="11"/>
      <color theme="1"/>
      <name val="Geneva"/>
    </font>
    <font>
      <sz val="11"/>
      <color rgb="FFFF0000"/>
      <name val="Geneva"/>
    </font>
    <font>
      <b/>
      <sz val="11"/>
      <color theme="1"/>
      <name val="Geneva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34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top" wrapText="1"/>
    </xf>
    <xf numFmtId="0" fontId="29" fillId="7" borderId="13" xfId="0" applyFont="1" applyFill="1" applyBorder="1" applyAlignment="1">
      <alignment horizontal="right" vertical="center"/>
    </xf>
    <xf numFmtId="0" fontId="29" fillId="11" borderId="11" xfId="0" applyFont="1" applyFill="1" applyBorder="1" applyAlignment="1">
      <alignment horizontal="right" vertical="top"/>
    </xf>
    <xf numFmtId="165" fontId="8" fillId="12" borderId="2" xfId="0" applyNumberFormat="1" applyFont="1" applyFill="1" applyBorder="1" applyAlignment="1">
      <alignment horizontal="center" vertical="center"/>
    </xf>
    <xf numFmtId="0" fontId="0" fillId="4" borderId="0" xfId="0" applyFill="1"/>
    <xf numFmtId="0" fontId="32" fillId="4" borderId="0" xfId="0" applyFont="1" applyFill="1"/>
    <xf numFmtId="0" fontId="32" fillId="0" borderId="0" xfId="0" applyFont="1"/>
    <xf numFmtId="0" fontId="33" fillId="0" borderId="0" xfId="0" applyFont="1"/>
    <xf numFmtId="49" fontId="11" fillId="4" borderId="18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5" xfId="0" applyNumberFormat="1" applyFont="1" applyFill="1" applyBorder="1" applyAlignment="1">
      <alignment horizontal="center" vertical="top" wrapText="1"/>
    </xf>
    <xf numFmtId="166" fontId="2" fillId="12" borderId="0" xfId="0" applyNumberFormat="1" applyFont="1" applyFill="1" applyAlignment="1">
      <alignment horizontal="center"/>
    </xf>
    <xf numFmtId="166" fontId="7" fillId="12" borderId="26" xfId="0" applyNumberFormat="1" applyFont="1" applyFill="1" applyBorder="1" applyAlignment="1">
      <alignment horizontal="center" vertical="center"/>
    </xf>
    <xf numFmtId="20" fontId="27" fillId="4" borderId="2" xfId="0" applyNumberFormat="1" applyFont="1" applyFill="1" applyBorder="1" applyAlignment="1">
      <alignment horizontal="center" vertical="center"/>
    </xf>
    <xf numFmtId="20" fontId="8" fillId="4" borderId="2" xfId="0" applyNumberFormat="1" applyFont="1" applyFill="1" applyBorder="1" applyAlignment="1">
      <alignment horizontal="center" vertical="center"/>
    </xf>
    <xf numFmtId="166" fontId="24" fillId="0" borderId="26" xfId="0" applyNumberFormat="1" applyFont="1" applyBorder="1"/>
    <xf numFmtId="166" fontId="8" fillId="12" borderId="26" xfId="0" applyNumberFormat="1" applyFont="1" applyFill="1" applyBorder="1" applyAlignment="1">
      <alignment horizontal="center" vertical="center"/>
    </xf>
    <xf numFmtId="0" fontId="23" fillId="7" borderId="13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right" vertical="center"/>
    </xf>
    <xf numFmtId="0" fontId="8" fillId="14" borderId="1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15" fillId="9" borderId="8" xfId="0" applyFont="1" applyFill="1" applyBorder="1" applyAlignment="1">
      <alignment horizontal="right" vertical="center"/>
    </xf>
    <xf numFmtId="165" fontId="8" fillId="9" borderId="8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right" vertical="center"/>
    </xf>
    <xf numFmtId="165" fontId="8" fillId="8" borderId="0" xfId="0" applyNumberFormat="1" applyFont="1" applyFill="1" applyAlignment="1">
      <alignment horizontal="center" vertical="center"/>
    </xf>
    <xf numFmtId="4" fontId="8" fillId="8" borderId="15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right" vertical="center"/>
    </xf>
    <xf numFmtId="165" fontId="8" fillId="9" borderId="0" xfId="0" applyNumberFormat="1" applyFont="1" applyFill="1" applyAlignment="1">
      <alignment horizontal="center" vertical="center"/>
    </xf>
    <xf numFmtId="4" fontId="8" fillId="9" borderId="15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right" vertical="center"/>
    </xf>
    <xf numFmtId="165" fontId="8" fillId="3" borderId="13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13" borderId="9" xfId="0" applyFont="1" applyFill="1" applyBorder="1" applyAlignment="1">
      <alignment vertical="center"/>
    </xf>
    <xf numFmtId="0" fontId="16" fillId="13" borderId="0" xfId="0" applyFont="1" applyFill="1" applyAlignment="1">
      <alignment horizontal="right" vertical="center"/>
    </xf>
    <xf numFmtId="165" fontId="8" fillId="13" borderId="0" xfId="0" applyNumberFormat="1" applyFont="1" applyFill="1" applyAlignment="1">
      <alignment horizontal="center" vertical="center"/>
    </xf>
    <xf numFmtId="4" fontId="8" fillId="13" borderId="15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right" vertical="center"/>
    </xf>
    <xf numFmtId="165" fontId="8" fillId="3" borderId="0" xfId="0" applyNumberFormat="1" applyFont="1" applyFill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165" fontId="18" fillId="10" borderId="2" xfId="0" applyNumberFormat="1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center" vertical="center"/>
    </xf>
    <xf numFmtId="165" fontId="18" fillId="10" borderId="3" xfId="0" applyNumberFormat="1" applyFont="1" applyFill="1" applyBorder="1" applyAlignment="1">
      <alignment horizontal="center" vertical="center"/>
    </xf>
    <xf numFmtId="0" fontId="29" fillId="7" borderId="22" xfId="0" applyFont="1" applyFill="1" applyBorder="1" applyAlignment="1">
      <alignment horizontal="right" vertical="center"/>
    </xf>
    <xf numFmtId="0" fontId="23" fillId="7" borderId="23" xfId="0" applyFont="1" applyFill="1" applyBorder="1" applyAlignment="1" applyProtection="1">
      <alignment horizontal="center" vertical="center"/>
      <protection locked="0"/>
    </xf>
    <xf numFmtId="0" fontId="23" fillId="7" borderId="23" xfId="0" applyFont="1" applyFill="1" applyBorder="1" applyAlignment="1">
      <alignment horizontal="left" vertical="center"/>
    </xf>
    <xf numFmtId="0" fontId="29" fillId="11" borderId="21" xfId="0" applyFont="1" applyFill="1" applyBorder="1" applyAlignment="1">
      <alignment horizontal="right" vertical="center"/>
    </xf>
    <xf numFmtId="14" fontId="23" fillId="11" borderId="24" xfId="0" applyNumberFormat="1" applyFont="1" applyFill="1" applyBorder="1" applyAlignment="1" applyProtection="1">
      <alignment horizontal="center" vertical="center"/>
      <protection locked="0"/>
    </xf>
    <xf numFmtId="0" fontId="29" fillId="11" borderId="0" xfId="0" applyFont="1" applyFill="1" applyAlignment="1">
      <alignment horizontal="right" vertical="center"/>
    </xf>
    <xf numFmtId="0" fontId="23" fillId="11" borderId="24" xfId="0" applyFont="1" applyFill="1" applyBorder="1" applyAlignment="1">
      <alignment horizontal="left" vertical="center"/>
    </xf>
    <xf numFmtId="0" fontId="23" fillId="11" borderId="24" xfId="0" applyFont="1" applyFill="1" applyBorder="1" applyAlignment="1">
      <alignment horizontal="left" vertical="top"/>
    </xf>
    <xf numFmtId="0" fontId="22" fillId="12" borderId="21" xfId="0" applyFont="1" applyFill="1" applyBorder="1" applyAlignment="1">
      <alignment horizontal="center" vertical="center"/>
    </xf>
    <xf numFmtId="165" fontId="28" fillId="12" borderId="5" xfId="0" applyNumberFormat="1" applyFont="1" applyFill="1" applyBorder="1" applyAlignment="1" applyProtection="1">
      <alignment horizontal="center" vertical="center"/>
      <protection locked="0"/>
    </xf>
    <xf numFmtId="14" fontId="8" fillId="12" borderId="21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5" fontId="27" fillId="4" borderId="21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5" fontId="27" fillId="4" borderId="2" xfId="0" applyNumberFormat="1" applyFont="1" applyFill="1" applyBorder="1" applyAlignment="1">
      <alignment horizontal="center" vertical="center"/>
    </xf>
    <xf numFmtId="20" fontId="27" fillId="4" borderId="5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65" fontId="28" fillId="12" borderId="5" xfId="31" applyNumberFormat="1" applyFont="1" applyFill="1" applyBorder="1" applyAlignment="1" applyProtection="1">
      <alignment horizontal="center" vertical="center"/>
      <protection locked="0"/>
    </xf>
    <xf numFmtId="14" fontId="37" fillId="0" borderId="0" xfId="0" applyNumberFormat="1" applyFont="1" applyAlignment="1">
      <alignment horizontal="center" vertical="center"/>
    </xf>
    <xf numFmtId="165" fontId="8" fillId="12" borderId="0" xfId="0" applyNumberFormat="1" applyFont="1" applyFill="1" applyAlignment="1">
      <alignment horizontal="center"/>
    </xf>
    <xf numFmtId="0" fontId="2" fillId="4" borderId="21" xfId="0" applyFont="1" applyFill="1" applyBorder="1" applyAlignment="1">
      <alignment horizontal="left" vertical="center"/>
    </xf>
    <xf numFmtId="45" fontId="24" fillId="4" borderId="0" xfId="0" applyNumberFormat="1" applyFont="1" applyFill="1" applyAlignment="1">
      <alignment horizontal="center" vertical="center"/>
    </xf>
    <xf numFmtId="165" fontId="2" fillId="0" borderId="0" xfId="0" applyNumberFormat="1" applyFont="1"/>
    <xf numFmtId="0" fontId="37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7" fillId="4" borderId="20" xfId="0" applyFont="1" applyFill="1" applyBorder="1" applyAlignment="1">
      <alignment horizontal="center"/>
    </xf>
    <xf numFmtId="20" fontId="27" fillId="4" borderId="0" xfId="0" applyNumberFormat="1" applyFont="1" applyFill="1" applyAlignment="1">
      <alignment horizontal="center" vertical="center"/>
    </xf>
    <xf numFmtId="14" fontId="23" fillId="11" borderId="24" xfId="0" quotePrefix="1" applyNumberFormat="1" applyFont="1" applyFill="1" applyBorder="1" applyAlignment="1" applyProtection="1">
      <alignment horizontal="center" vertical="center"/>
      <protection locked="0"/>
    </xf>
    <xf numFmtId="0" fontId="3" fillId="13" borderId="9" xfId="0" applyFont="1" applyFill="1" applyBorder="1"/>
    <xf numFmtId="0" fontId="9" fillId="5" borderId="30" xfId="0" applyFont="1" applyFill="1" applyBorder="1" applyAlignment="1">
      <alignment horizontal="right" vertical="center"/>
    </xf>
    <xf numFmtId="165" fontId="10" fillId="5" borderId="31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left" vertical="center"/>
    </xf>
    <xf numFmtId="0" fontId="23" fillId="7" borderId="13" xfId="0" applyFont="1" applyFill="1" applyBorder="1" applyAlignment="1">
      <alignment horizontal="left" vertical="center"/>
    </xf>
    <xf numFmtId="0" fontId="23" fillId="11" borderId="0" xfId="0" applyFont="1" applyFill="1" applyAlignment="1">
      <alignment horizontal="left" vertical="center"/>
    </xf>
    <xf numFmtId="0" fontId="23" fillId="11" borderId="0" xfId="0" applyFont="1" applyFill="1" applyAlignment="1">
      <alignment horizontal="left" vertical="top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165" fontId="3" fillId="4" borderId="21" xfId="0" applyNumberFormat="1" applyFont="1" applyFill="1" applyBorder="1" applyAlignment="1">
      <alignment vertical="center"/>
    </xf>
    <xf numFmtId="165" fontId="7" fillId="12" borderId="26" xfId="0" applyNumberFormat="1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right" vertical="center"/>
    </xf>
    <xf numFmtId="165" fontId="9" fillId="2" borderId="37" xfId="0" applyNumberFormat="1" applyFont="1" applyFill="1" applyBorder="1" applyAlignment="1">
      <alignment horizontal="center" vertical="center"/>
    </xf>
    <xf numFmtId="165" fontId="9" fillId="2" borderId="36" xfId="0" applyNumberFormat="1" applyFont="1" applyFill="1" applyBorder="1" applyAlignment="1">
      <alignment horizontal="center" vertical="center"/>
    </xf>
    <xf numFmtId="165" fontId="9" fillId="2" borderId="34" xfId="0" applyNumberFormat="1" applyFont="1" applyFill="1" applyBorder="1" applyAlignment="1">
      <alignment horizontal="center" vertical="center"/>
    </xf>
    <xf numFmtId="0" fontId="3" fillId="3" borderId="9" xfId="0" applyFont="1" applyFill="1" applyBorder="1"/>
    <xf numFmtId="0" fontId="36" fillId="3" borderId="9" xfId="0" applyFont="1" applyFill="1" applyBorder="1" applyAlignment="1">
      <alignment vertical="center"/>
    </xf>
    <xf numFmtId="4" fontId="35" fillId="3" borderId="15" xfId="0" applyNumberFormat="1" applyFont="1" applyFill="1" applyBorder="1" applyAlignment="1">
      <alignment horizontal="center" vertical="center"/>
    </xf>
    <xf numFmtId="49" fontId="6" fillId="13" borderId="10" xfId="0" applyNumberFormat="1" applyFont="1" applyFill="1" applyBorder="1" applyAlignment="1">
      <alignment vertical="center"/>
    </xf>
    <xf numFmtId="0" fontId="16" fillId="13" borderId="11" xfId="0" applyFont="1" applyFill="1" applyBorder="1" applyAlignment="1">
      <alignment horizontal="right" vertical="center"/>
    </xf>
    <xf numFmtId="4" fontId="8" fillId="13" borderId="16" xfId="0" applyNumberFormat="1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45" fontId="24" fillId="4" borderId="22" xfId="0" applyNumberFormat="1" applyFont="1" applyFill="1" applyBorder="1" applyAlignment="1">
      <alignment horizontal="center" vertical="center"/>
    </xf>
    <xf numFmtId="45" fontId="24" fillId="4" borderId="13" xfId="0" applyNumberFormat="1" applyFont="1" applyFill="1" applyBorder="1" applyAlignment="1">
      <alignment horizontal="center" vertical="center"/>
    </xf>
    <xf numFmtId="0" fontId="36" fillId="4" borderId="19" xfId="0" applyFont="1" applyFill="1" applyBorder="1" applyAlignment="1">
      <alignment horizontal="center" vertical="center"/>
    </xf>
    <xf numFmtId="165" fontId="38" fillId="12" borderId="2" xfId="0" applyNumberFormat="1" applyFont="1" applyFill="1" applyBorder="1" applyAlignment="1">
      <alignment horizontal="center" vertical="center"/>
    </xf>
    <xf numFmtId="165" fontId="35" fillId="3" borderId="0" xfId="0" applyNumberFormat="1" applyFont="1" applyFill="1" applyAlignment="1">
      <alignment horizontal="center" vertical="center"/>
    </xf>
    <xf numFmtId="165" fontId="8" fillId="13" borderId="11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39" fillId="0" borderId="0" xfId="0" applyFont="1"/>
    <xf numFmtId="165" fontId="2" fillId="0" borderId="0" xfId="0" applyNumberFormat="1" applyFont="1" applyAlignment="1">
      <alignment horizontal="center"/>
    </xf>
    <xf numFmtId="165" fontId="24" fillId="0" borderId="21" xfId="0" applyNumberFormat="1" applyFont="1" applyBorder="1" applyAlignment="1">
      <alignment horizontal="center" vertical="center"/>
    </xf>
    <xf numFmtId="165" fontId="24" fillId="4" borderId="2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vertical="center"/>
    </xf>
    <xf numFmtId="0" fontId="41" fillId="0" borderId="0" xfId="0" applyFont="1"/>
    <xf numFmtId="0" fontId="40" fillId="4" borderId="21" xfId="0" applyFont="1" applyFill="1" applyBorder="1" applyAlignment="1">
      <alignment vertical="center"/>
    </xf>
    <xf numFmtId="0" fontId="41" fillId="4" borderId="0" xfId="0" applyFont="1" applyFill="1"/>
    <xf numFmtId="0" fontId="40" fillId="0" borderId="0" xfId="0" applyFont="1"/>
    <xf numFmtId="0" fontId="40" fillId="4" borderId="0" xfId="0" applyFont="1" applyFill="1"/>
    <xf numFmtId="0" fontId="42" fillId="0" borderId="0" xfId="0" applyFont="1"/>
    <xf numFmtId="20" fontId="8" fillId="12" borderId="2" xfId="0" applyNumberFormat="1" applyFont="1" applyFill="1" applyBorder="1" applyAlignment="1">
      <alignment horizontal="center" vertical="center"/>
    </xf>
    <xf numFmtId="165" fontId="24" fillId="4" borderId="0" xfId="0" applyNumberFormat="1" applyFont="1" applyFill="1" applyAlignment="1">
      <alignment horizontal="center" vertical="center"/>
    </xf>
    <xf numFmtId="45" fontId="2" fillId="0" borderId="0" xfId="0" applyNumberFormat="1" applyFont="1"/>
    <xf numFmtId="167" fontId="8" fillId="14" borderId="16" xfId="0" applyNumberFormat="1" applyFont="1" applyFill="1" applyBorder="1" applyAlignment="1">
      <alignment horizontal="center" vertical="center"/>
    </xf>
    <xf numFmtId="167" fontId="8" fillId="14" borderId="6" xfId="0" applyNumberFormat="1" applyFont="1" applyFill="1" applyBorder="1" applyAlignment="1">
      <alignment horizontal="center" vertical="center"/>
    </xf>
    <xf numFmtId="167" fontId="8" fillId="9" borderId="14" xfId="0" applyNumberFormat="1" applyFont="1" applyFill="1" applyBorder="1" applyAlignment="1">
      <alignment horizontal="center" vertical="center"/>
    </xf>
    <xf numFmtId="167" fontId="8" fillId="9" borderId="4" xfId="0" applyNumberFormat="1" applyFont="1" applyFill="1" applyBorder="1" applyAlignment="1">
      <alignment horizontal="center" vertical="center"/>
    </xf>
    <xf numFmtId="167" fontId="8" fillId="8" borderId="15" xfId="0" applyNumberFormat="1" applyFont="1" applyFill="1" applyBorder="1" applyAlignment="1">
      <alignment horizontal="center" vertical="center"/>
    </xf>
    <xf numFmtId="167" fontId="8" fillId="8" borderId="5" xfId="0" applyNumberFormat="1" applyFont="1" applyFill="1" applyBorder="1" applyAlignment="1">
      <alignment horizontal="center" vertical="center"/>
    </xf>
    <xf numFmtId="167" fontId="8" fillId="9" borderId="15" xfId="0" applyNumberFormat="1" applyFont="1" applyFill="1" applyBorder="1" applyAlignment="1">
      <alignment horizontal="center" vertical="center"/>
    </xf>
    <xf numFmtId="167" fontId="8" fillId="9" borderId="5" xfId="0" applyNumberFormat="1" applyFont="1" applyFill="1" applyBorder="1" applyAlignment="1">
      <alignment horizontal="center" vertical="center"/>
    </xf>
    <xf numFmtId="167" fontId="8" fillId="3" borderId="17" xfId="0" applyNumberFormat="1" applyFont="1" applyFill="1" applyBorder="1" applyAlignment="1">
      <alignment horizontal="center" vertical="center"/>
    </xf>
    <xf numFmtId="167" fontId="8" fillId="3" borderId="29" xfId="0" applyNumberFormat="1" applyFont="1" applyFill="1" applyBorder="1" applyAlignment="1">
      <alignment horizontal="center" vertical="center"/>
    </xf>
    <xf numFmtId="167" fontId="8" fillId="13" borderId="15" xfId="0" applyNumberFormat="1" applyFont="1" applyFill="1" applyBorder="1" applyAlignment="1">
      <alignment horizontal="center" vertical="center"/>
    </xf>
    <xf numFmtId="167" fontId="8" fillId="13" borderId="5" xfId="0" applyNumberFormat="1" applyFont="1" applyFill="1" applyBorder="1" applyAlignment="1">
      <alignment horizontal="center" vertical="center"/>
    </xf>
    <xf numFmtId="167" fontId="8" fillId="3" borderId="15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35" fillId="3" borderId="15" xfId="0" applyNumberFormat="1" applyFont="1" applyFill="1" applyBorder="1" applyAlignment="1">
      <alignment horizontal="center" vertical="center"/>
    </xf>
    <xf numFmtId="167" fontId="35" fillId="3" borderId="5" xfId="0" applyNumberFormat="1" applyFont="1" applyFill="1" applyBorder="1" applyAlignment="1">
      <alignment horizontal="center" vertical="center"/>
    </xf>
    <xf numFmtId="167" fontId="8" fillId="13" borderId="16" xfId="0" applyNumberFormat="1" applyFont="1" applyFill="1" applyBorder="1" applyAlignment="1">
      <alignment horizontal="center" vertical="center"/>
    </xf>
    <xf numFmtId="167" fontId="8" fillId="13" borderId="6" xfId="0" applyNumberFormat="1" applyFont="1" applyFill="1" applyBorder="1" applyAlignment="1">
      <alignment horizontal="center" vertical="center"/>
    </xf>
    <xf numFmtId="167" fontId="10" fillId="5" borderId="32" xfId="0" applyNumberFormat="1" applyFont="1" applyFill="1" applyBorder="1" applyAlignment="1">
      <alignment horizontal="center" vertical="center"/>
    </xf>
    <xf numFmtId="167" fontId="10" fillId="5" borderId="33" xfId="0" applyNumberFormat="1" applyFont="1" applyFill="1" applyBorder="1" applyAlignment="1">
      <alignment horizontal="center" vertical="center"/>
    </xf>
    <xf numFmtId="0" fontId="43" fillId="4" borderId="22" xfId="0" applyFont="1" applyFill="1" applyBorder="1"/>
    <xf numFmtId="0" fontId="43" fillId="4" borderId="13" xfId="0" applyFont="1" applyFill="1" applyBorder="1"/>
    <xf numFmtId="0" fontId="43" fillId="4" borderId="23" xfId="0" applyFont="1" applyFill="1" applyBorder="1"/>
    <xf numFmtId="0" fontId="0" fillId="4" borderId="21" xfId="0" applyFill="1" applyBorder="1"/>
    <xf numFmtId="0" fontId="0" fillId="4" borderId="24" xfId="0" applyFill="1" applyBorder="1"/>
    <xf numFmtId="0" fontId="44" fillId="4" borderId="21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24" xfId="0" applyFill="1" applyBorder="1" applyAlignment="1">
      <alignment vertical="center"/>
    </xf>
    <xf numFmtId="0" fontId="46" fillId="4" borderId="21" xfId="0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47" fillId="4" borderId="24" xfId="0" applyFont="1" applyFill="1" applyBorder="1" applyAlignment="1">
      <alignment vertical="center"/>
    </xf>
    <xf numFmtId="0" fontId="47" fillId="11" borderId="21" xfId="0" applyFont="1" applyFill="1" applyBorder="1" applyAlignment="1">
      <alignment vertical="center"/>
    </xf>
    <xf numFmtId="0" fontId="47" fillId="11" borderId="0" xfId="0" applyFont="1" applyFill="1" applyAlignment="1">
      <alignment vertical="center"/>
    </xf>
    <xf numFmtId="0" fontId="47" fillId="11" borderId="24" xfId="0" applyFont="1" applyFill="1" applyBorder="1" applyAlignment="1">
      <alignment vertical="center"/>
    </xf>
    <xf numFmtId="0" fontId="47" fillId="4" borderId="21" xfId="0" applyFont="1" applyFill="1" applyBorder="1" applyAlignment="1">
      <alignment vertical="center"/>
    </xf>
    <xf numFmtId="0" fontId="47" fillId="12" borderId="21" xfId="0" applyFont="1" applyFill="1" applyBorder="1" applyAlignment="1">
      <alignment vertical="center"/>
    </xf>
    <xf numFmtId="0" fontId="47" fillId="12" borderId="0" xfId="0" applyFont="1" applyFill="1" applyAlignment="1">
      <alignment vertical="center"/>
    </xf>
    <xf numFmtId="0" fontId="47" fillId="12" borderId="24" xfId="0" applyFont="1" applyFill="1" applyBorder="1" applyAlignment="1">
      <alignment vertical="center"/>
    </xf>
    <xf numFmtId="0" fontId="48" fillId="12" borderId="21" xfId="0" applyFont="1" applyFill="1" applyBorder="1" applyAlignment="1">
      <alignment vertical="center"/>
    </xf>
    <xf numFmtId="0" fontId="48" fillId="12" borderId="0" xfId="0" applyFont="1" applyFill="1" applyAlignment="1">
      <alignment vertical="center"/>
    </xf>
    <xf numFmtId="0" fontId="47" fillId="9" borderId="21" xfId="0" applyFont="1" applyFill="1" applyBorder="1" applyAlignment="1">
      <alignment vertical="center"/>
    </xf>
    <xf numFmtId="0" fontId="47" fillId="9" borderId="0" xfId="0" applyFont="1" applyFill="1" applyAlignment="1">
      <alignment vertical="center"/>
    </xf>
    <xf numFmtId="0" fontId="47" fillId="9" borderId="24" xfId="0" applyFont="1" applyFill="1" applyBorder="1" applyAlignment="1">
      <alignment vertical="center"/>
    </xf>
    <xf numFmtId="0" fontId="49" fillId="9" borderId="21" xfId="0" applyFont="1" applyFill="1" applyBorder="1" applyAlignment="1">
      <alignment vertical="center"/>
    </xf>
    <xf numFmtId="0" fontId="50" fillId="9" borderId="0" xfId="0" applyFont="1" applyFill="1" applyAlignment="1">
      <alignment vertical="center"/>
    </xf>
    <xf numFmtId="0" fontId="50" fillId="9" borderId="24" xfId="0" applyFont="1" applyFill="1" applyBorder="1" applyAlignment="1">
      <alignment vertical="center"/>
    </xf>
    <xf numFmtId="0" fontId="49" fillId="4" borderId="21" xfId="0" applyFont="1" applyFill="1" applyBorder="1" applyAlignment="1">
      <alignment vertical="center"/>
    </xf>
    <xf numFmtId="0" fontId="50" fillId="4" borderId="0" xfId="0" applyFont="1" applyFill="1" applyAlignment="1">
      <alignment vertical="center"/>
    </xf>
    <xf numFmtId="0" fontId="50" fillId="4" borderId="24" xfId="0" applyFont="1" applyFill="1" applyBorder="1" applyAlignment="1">
      <alignment vertical="center"/>
    </xf>
    <xf numFmtId="0" fontId="50" fillId="5" borderId="21" xfId="0" applyFont="1" applyFill="1" applyBorder="1" applyAlignment="1">
      <alignment vertical="center"/>
    </xf>
    <xf numFmtId="0" fontId="50" fillId="5" borderId="0" xfId="0" applyFont="1" applyFill="1" applyAlignment="1">
      <alignment vertical="center"/>
    </xf>
    <xf numFmtId="0" fontId="50" fillId="5" borderId="24" xfId="0" applyFont="1" applyFill="1" applyBorder="1" applyAlignment="1">
      <alignment vertical="center"/>
    </xf>
    <xf numFmtId="0" fontId="50" fillId="4" borderId="21" xfId="0" applyFont="1" applyFill="1" applyBorder="1" applyAlignment="1">
      <alignment vertical="center"/>
    </xf>
    <xf numFmtId="14" fontId="23" fillId="11" borderId="27" xfId="0" applyNumberFormat="1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/>
    </xf>
    <xf numFmtId="0" fontId="41" fillId="4" borderId="0" xfId="0" applyFont="1" applyFill="1" applyAlignment="1">
      <alignment vertical="center"/>
    </xf>
    <xf numFmtId="0" fontId="46" fillId="4" borderId="0" xfId="0" applyFont="1" applyFill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6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vertical="center"/>
    </xf>
    <xf numFmtId="0" fontId="41" fillId="4" borderId="28" xfId="0" applyFont="1" applyFill="1" applyBorder="1" applyAlignment="1">
      <alignment vertical="center"/>
    </xf>
    <xf numFmtId="0" fontId="8" fillId="12" borderId="26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/>
    </xf>
    <xf numFmtId="20" fontId="35" fillId="4" borderId="2" xfId="0" applyNumberFormat="1" applyFont="1" applyFill="1" applyBorder="1" applyAlignment="1">
      <alignment horizontal="center" vertical="center" wrapText="1"/>
    </xf>
    <xf numFmtId="165" fontId="35" fillId="4" borderId="2" xfId="0" applyNumberFormat="1" applyFont="1" applyFill="1" applyBorder="1" applyAlignment="1">
      <alignment horizontal="center" vertical="center"/>
    </xf>
    <xf numFmtId="168" fontId="7" fillId="6" borderId="15" xfId="0" applyNumberFormat="1" applyFont="1" applyFill="1" applyBorder="1" applyAlignment="1">
      <alignment horizontal="center" vertical="center"/>
    </xf>
    <xf numFmtId="168" fontId="8" fillId="14" borderId="16" xfId="0" applyNumberFormat="1" applyFont="1" applyFill="1" applyBorder="1" applyAlignment="1">
      <alignment horizontal="center" vertical="center"/>
    </xf>
    <xf numFmtId="168" fontId="10" fillId="5" borderId="32" xfId="0" applyNumberFormat="1" applyFont="1" applyFill="1" applyBorder="1" applyAlignment="1">
      <alignment horizontal="center" vertical="center"/>
    </xf>
    <xf numFmtId="166" fontId="24" fillId="4" borderId="26" xfId="0" applyNumberFormat="1" applyFont="1" applyFill="1" applyBorder="1"/>
    <xf numFmtId="0" fontId="15" fillId="9" borderId="39" xfId="0" applyFont="1" applyFill="1" applyBorder="1" applyAlignment="1">
      <alignment horizontal="right" vertical="center"/>
    </xf>
    <xf numFmtId="0" fontId="15" fillId="8" borderId="24" xfId="0" applyFont="1" applyFill="1" applyBorder="1" applyAlignment="1">
      <alignment horizontal="right" vertical="center"/>
    </xf>
    <xf numFmtId="0" fontId="15" fillId="9" borderId="24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16" fillId="13" borderId="24" xfId="0" applyFont="1" applyFill="1" applyBorder="1" applyAlignment="1">
      <alignment horizontal="right" vertical="center"/>
    </xf>
    <xf numFmtId="0" fontId="16" fillId="3" borderId="24" xfId="0" applyFont="1" applyFill="1" applyBorder="1" applyAlignment="1">
      <alignment horizontal="right" vertical="center"/>
    </xf>
    <xf numFmtId="0" fontId="16" fillId="13" borderId="27" xfId="0" applyFont="1" applyFill="1" applyBorder="1" applyAlignment="1">
      <alignment horizontal="right" vertical="center"/>
    </xf>
    <xf numFmtId="0" fontId="40" fillId="11" borderId="21" xfId="0" applyFont="1" applyFill="1" applyBorder="1" applyAlignment="1">
      <alignment vertical="center"/>
    </xf>
    <xf numFmtId="0" fontId="40" fillId="11" borderId="0" xfId="0" applyFont="1" applyFill="1" applyAlignment="1">
      <alignment vertical="center"/>
    </xf>
    <xf numFmtId="0" fontId="40" fillId="11" borderId="24" xfId="0" applyFont="1" applyFill="1" applyBorder="1" applyAlignment="1">
      <alignment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M34"/>
  <sheetViews>
    <sheetView zoomScale="75" zoomScaleNormal="75" workbookViewId="0">
      <selection activeCell="A27" sqref="A27:A28"/>
    </sheetView>
  </sheetViews>
  <sheetFormatPr baseColWidth="10" defaultRowHeight="11.4"/>
  <cols>
    <col min="11" max="11" width="20.5" customWidth="1"/>
  </cols>
  <sheetData>
    <row r="1" spans="1:13" s="125" customFormat="1" ht="19.95" customHeight="1">
      <c r="A1" s="160" t="s">
        <v>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3" ht="12" customHeight="1">
      <c r="A2" s="163"/>
      <c r="B2" s="10"/>
      <c r="C2" s="10"/>
      <c r="D2" s="10"/>
      <c r="E2" s="10"/>
      <c r="F2" s="10"/>
      <c r="G2" s="10"/>
      <c r="H2" s="10"/>
      <c r="I2" s="10"/>
      <c r="J2" s="10"/>
      <c r="K2" s="164"/>
    </row>
    <row r="3" spans="1:13" ht="24.6">
      <c r="A3" s="165" t="s">
        <v>50</v>
      </c>
      <c r="B3" s="166"/>
      <c r="C3" s="166"/>
      <c r="D3" s="166"/>
      <c r="E3" s="167"/>
      <c r="F3" s="167"/>
      <c r="G3" s="167"/>
      <c r="H3" s="167"/>
      <c r="I3" s="167"/>
      <c r="J3" s="167"/>
      <c r="K3" s="168"/>
    </row>
    <row r="4" spans="1:13" ht="22.95" customHeight="1">
      <c r="A4" s="169" t="s">
        <v>49</v>
      </c>
      <c r="B4" s="170"/>
      <c r="C4" s="170"/>
      <c r="D4" s="170"/>
      <c r="E4" s="170"/>
      <c r="F4" s="170"/>
      <c r="G4" s="170"/>
      <c r="H4" s="170"/>
      <c r="I4" s="170"/>
      <c r="J4" s="170"/>
      <c r="K4" s="171"/>
      <c r="L4" s="131"/>
      <c r="M4" s="131"/>
    </row>
    <row r="5" spans="1:13" ht="22.95" customHeight="1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1"/>
      <c r="L5" s="131"/>
      <c r="M5" s="131"/>
    </row>
    <row r="6" spans="1:13" ht="22.95" customHeight="1">
      <c r="A6" s="172" t="s">
        <v>29</v>
      </c>
      <c r="B6" s="173"/>
      <c r="C6" s="173"/>
      <c r="D6" s="173"/>
      <c r="E6" s="173"/>
      <c r="F6" s="173"/>
      <c r="G6" s="173"/>
      <c r="H6" s="173"/>
      <c r="I6" s="173"/>
      <c r="J6" s="173"/>
      <c r="K6" s="174"/>
      <c r="L6" s="131"/>
      <c r="M6" s="131"/>
    </row>
    <row r="7" spans="1:13" ht="22.95" customHeight="1">
      <c r="A7" s="172" t="s">
        <v>68</v>
      </c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131"/>
      <c r="M7" s="131"/>
    </row>
    <row r="8" spans="1:13" ht="22.95" customHeight="1">
      <c r="A8" s="172" t="s">
        <v>48</v>
      </c>
      <c r="B8" s="173"/>
      <c r="C8" s="173"/>
      <c r="D8" s="173"/>
      <c r="E8" s="173"/>
      <c r="F8" s="173"/>
      <c r="G8" s="173"/>
      <c r="H8" s="173"/>
      <c r="I8" s="173"/>
      <c r="J8" s="173"/>
      <c r="K8" s="174"/>
      <c r="L8" s="131"/>
      <c r="M8" s="131"/>
    </row>
    <row r="9" spans="1:13" ht="22.95" customHeight="1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4"/>
      <c r="L9" s="131"/>
      <c r="M9" s="131"/>
    </row>
    <row r="10" spans="1:13" ht="22.95" customHeight="1">
      <c r="A10" s="217" t="s">
        <v>69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  <c r="L10" s="131"/>
      <c r="M10" s="131"/>
    </row>
    <row r="11" spans="1:13" ht="22.95" customHeight="1">
      <c r="A11" s="175"/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31"/>
      <c r="M11" s="131"/>
    </row>
    <row r="12" spans="1:13" ht="22.95" customHeight="1">
      <c r="A12" s="176" t="s">
        <v>45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8"/>
      <c r="L12" s="131"/>
      <c r="M12" s="131"/>
    </row>
    <row r="13" spans="1:13" ht="22.95" customHeight="1">
      <c r="A13" s="179" t="s">
        <v>46</v>
      </c>
      <c r="B13" s="180"/>
      <c r="C13" s="180"/>
      <c r="D13" s="180"/>
      <c r="E13" s="180"/>
      <c r="F13" s="180"/>
      <c r="G13" s="180"/>
      <c r="H13" s="180"/>
      <c r="I13" s="177"/>
      <c r="J13" s="177"/>
      <c r="K13" s="178"/>
      <c r="L13" s="131"/>
      <c r="M13" s="131"/>
    </row>
    <row r="14" spans="1:13" ht="22.95" customHeight="1">
      <c r="A14" s="176" t="s">
        <v>41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8"/>
      <c r="L14" s="131"/>
      <c r="M14" s="131"/>
    </row>
    <row r="15" spans="1:13" ht="22.95" customHeight="1">
      <c r="A15" s="176" t="s">
        <v>47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31"/>
      <c r="M15" s="131"/>
    </row>
    <row r="16" spans="1:13" ht="22.95" customHeight="1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31"/>
      <c r="M16" s="131"/>
    </row>
    <row r="17" spans="1:13" ht="22.95" customHeight="1">
      <c r="A17" s="176" t="s">
        <v>63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8"/>
      <c r="L17" s="131"/>
      <c r="M17" s="131"/>
    </row>
    <row r="18" spans="1:13" ht="22.95" customHeight="1">
      <c r="A18" s="176" t="s">
        <v>56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8"/>
      <c r="L18" s="131"/>
      <c r="M18" s="131"/>
    </row>
    <row r="19" spans="1:13" ht="22.95" customHeight="1">
      <c r="A19" s="176" t="s">
        <v>57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8"/>
      <c r="L19" s="131"/>
      <c r="M19" s="131"/>
    </row>
    <row r="20" spans="1:13" s="10" customFormat="1" ht="22.95" customHeight="1">
      <c r="A20" s="175"/>
      <c r="B20" s="170"/>
      <c r="C20" s="170"/>
      <c r="D20" s="170"/>
      <c r="E20" s="170"/>
      <c r="F20" s="170"/>
      <c r="G20" s="170"/>
      <c r="H20" s="170"/>
      <c r="I20" s="170"/>
      <c r="J20" s="170"/>
      <c r="K20" s="171"/>
      <c r="L20" s="133"/>
      <c r="M20" s="133"/>
    </row>
    <row r="21" spans="1:13" s="12" customFormat="1" ht="22.95" customHeight="1">
      <c r="A21" s="181" t="s">
        <v>42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3"/>
      <c r="L21" s="134"/>
      <c r="M21" s="134"/>
    </row>
    <row r="22" spans="1:13" s="12" customFormat="1" ht="22.95" customHeight="1">
      <c r="A22" s="184" t="s">
        <v>43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6"/>
      <c r="L22" s="134"/>
      <c r="M22" s="134"/>
    </row>
    <row r="23" spans="1:13" s="12" customFormat="1" ht="22.95" customHeight="1">
      <c r="A23" s="184" t="s">
        <v>62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6"/>
      <c r="L23" s="134"/>
      <c r="M23" s="134"/>
    </row>
    <row r="24" spans="1:13" s="12" customFormat="1" ht="22.95" customHeight="1">
      <c r="A24" s="184" t="s">
        <v>64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6"/>
      <c r="L24" s="134"/>
      <c r="M24" s="134"/>
    </row>
    <row r="25" spans="1:13" s="12" customFormat="1" ht="22.95" customHeight="1">
      <c r="A25" s="184" t="s">
        <v>65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6"/>
      <c r="L25" s="134"/>
      <c r="M25" s="134"/>
    </row>
    <row r="26" spans="1:13" s="11" customFormat="1" ht="22.95" customHeight="1">
      <c r="A26" s="187"/>
      <c r="B26" s="188"/>
      <c r="C26" s="188"/>
      <c r="D26" s="188"/>
      <c r="E26" s="188"/>
      <c r="F26" s="188"/>
      <c r="G26" s="188"/>
      <c r="H26" s="188"/>
      <c r="I26" s="188"/>
      <c r="J26" s="188"/>
      <c r="K26" s="189"/>
      <c r="L26" s="135"/>
      <c r="M26" s="135"/>
    </row>
    <row r="27" spans="1:13" ht="22.95" customHeight="1">
      <c r="A27" s="190" t="s">
        <v>40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2"/>
      <c r="L27" s="131"/>
      <c r="M27" s="131"/>
    </row>
    <row r="28" spans="1:13" s="13" customFormat="1" ht="22.95" customHeight="1">
      <c r="A28" s="190" t="s">
        <v>44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2"/>
      <c r="L28" s="136"/>
      <c r="M28" s="136"/>
    </row>
    <row r="29" spans="1:13" s="13" customFormat="1" ht="22.95" customHeight="1">
      <c r="A29" s="193"/>
      <c r="B29" s="188"/>
      <c r="C29" s="188"/>
      <c r="D29" s="188"/>
      <c r="E29" s="188"/>
      <c r="F29" s="188"/>
      <c r="G29" s="188"/>
      <c r="H29" s="188"/>
      <c r="I29" s="188"/>
      <c r="J29" s="188"/>
      <c r="K29" s="189"/>
      <c r="L29" s="136"/>
      <c r="M29" s="136"/>
    </row>
    <row r="30" spans="1:13" s="13" customFormat="1" ht="22.95" customHeight="1">
      <c r="A30" s="176" t="s">
        <v>51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8"/>
      <c r="L30" s="136"/>
      <c r="M30" s="136"/>
    </row>
    <row r="31" spans="1:13" ht="22.95" customHeight="1">
      <c r="A31" s="176" t="s">
        <v>52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8"/>
      <c r="L31" s="131"/>
      <c r="M31" s="131"/>
    </row>
    <row r="32" spans="1:13" s="10" customFormat="1" ht="22.95" customHeight="1">
      <c r="A32" s="132"/>
      <c r="B32" s="196"/>
      <c r="C32" s="196"/>
      <c r="D32" s="196"/>
      <c r="E32" s="196"/>
      <c r="F32" s="196"/>
      <c r="G32" s="196"/>
      <c r="H32" s="196"/>
      <c r="I32" s="196"/>
      <c r="J32" s="196"/>
      <c r="K32" s="130"/>
      <c r="L32" s="133"/>
      <c r="M32" s="133"/>
    </row>
    <row r="33" spans="1:13" ht="22.95" customHeight="1">
      <c r="A33" s="169" t="s">
        <v>53</v>
      </c>
      <c r="B33" s="197"/>
      <c r="C33" s="197"/>
      <c r="D33" s="197"/>
      <c r="E33" s="197"/>
      <c r="F33" s="196"/>
      <c r="G33" s="196"/>
      <c r="H33" s="196"/>
      <c r="I33" s="196"/>
      <c r="J33" s="196"/>
      <c r="K33" s="130"/>
      <c r="L33" s="131"/>
      <c r="M33" s="131"/>
    </row>
    <row r="34" spans="1:13" ht="14.4">
      <c r="A34" s="198" t="s">
        <v>67</v>
      </c>
      <c r="B34" s="199"/>
      <c r="C34" s="199"/>
      <c r="D34" s="199"/>
      <c r="E34" s="199"/>
      <c r="F34" s="200"/>
      <c r="G34" s="200"/>
      <c r="H34" s="200"/>
      <c r="I34" s="200"/>
      <c r="J34" s="200"/>
      <c r="K34" s="201"/>
    </row>
  </sheetData>
  <sheetProtection sheet="1" selectLockedCells="1"/>
  <pageMargins left="0" right="0" top="0.15748031496062992" bottom="0.15748031496062992" header="0.11811023622047244" footer="0.1181102362204724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54"/>
  <sheetViews>
    <sheetView zoomScale="75" zoomScaleNormal="75" workbookViewId="0">
      <selection activeCell="D2" sqref="D2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9" ht="24" customHeight="1">
      <c r="A1" s="66" t="s">
        <v>13</v>
      </c>
      <c r="B1" s="23" t="s">
        <v>37</v>
      </c>
      <c r="C1" s="99"/>
      <c r="D1" s="67" t="s">
        <v>36</v>
      </c>
      <c r="E1" s="7" t="s">
        <v>11</v>
      </c>
      <c r="F1" s="23" t="s">
        <v>33</v>
      </c>
      <c r="G1" s="100"/>
      <c r="H1" s="68"/>
    </row>
    <row r="2" spans="1:9" ht="19.95" customHeight="1">
      <c r="A2" s="69" t="s">
        <v>14</v>
      </c>
      <c r="B2" s="24" t="s">
        <v>38</v>
      </c>
      <c r="C2" s="71" t="s">
        <v>58</v>
      </c>
      <c r="D2" s="70">
        <f>DATE(2024,6,3)</f>
        <v>43984</v>
      </c>
      <c r="E2" s="71" t="s">
        <v>12</v>
      </c>
      <c r="F2" s="24" t="s">
        <v>39</v>
      </c>
      <c r="G2" s="101"/>
      <c r="H2" s="72"/>
    </row>
    <row r="3" spans="1:9" ht="19.95" customHeight="1" thickBot="1">
      <c r="A3" s="69"/>
      <c r="B3" s="101"/>
      <c r="C3" s="71" t="s">
        <v>59</v>
      </c>
      <c r="D3" s="194">
        <f>D2+DAY(5)</f>
        <v>43990</v>
      </c>
      <c r="E3" s="8"/>
      <c r="F3" s="102"/>
      <c r="G3" s="102"/>
      <c r="H3" s="73"/>
    </row>
    <row r="4" spans="1:9" ht="49.95" customHeight="1">
      <c r="A4" s="14" t="s">
        <v>2</v>
      </c>
      <c r="B4" s="6" t="s">
        <v>34</v>
      </c>
      <c r="C4" s="6" t="s">
        <v>55</v>
      </c>
      <c r="D4" s="6" t="s">
        <v>16</v>
      </c>
      <c r="E4" s="6" t="s">
        <v>61</v>
      </c>
      <c r="F4" s="6" t="s">
        <v>10</v>
      </c>
      <c r="G4" s="15" t="s">
        <v>17</v>
      </c>
      <c r="H4" s="16" t="s">
        <v>27</v>
      </c>
    </row>
    <row r="5" spans="1:9" s="3" customFormat="1" ht="22.95" customHeight="1">
      <c r="A5" s="74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03">
        <v>0</v>
      </c>
      <c r="D5" s="75"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05">
        <v>0</v>
      </c>
    </row>
    <row r="6" spans="1:9" ht="16.95" customHeight="1">
      <c r="A6" s="76">
        <f>D2</f>
        <v>43984</v>
      </c>
      <c r="B6" s="77" t="str">
        <f>IF(E6=0 / 24, "","(journée continue)")</f>
        <v/>
      </c>
      <c r="C6" s="103">
        <v>0</v>
      </c>
      <c r="D6" s="83">
        <v>0</v>
      </c>
      <c r="E6" s="121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37"/>
      <c r="H6" s="18"/>
    </row>
    <row r="7" spans="1:9" ht="16.95" customHeight="1">
      <c r="A7" s="78">
        <f>IF(A6 = "", Deb, IF(A6&gt;DATE(YEAR(A6),3,31),IF(A6&lt;DATE(YEAR(A6),10,1),22/24,20/24),20/24))</f>
        <v>0.91666666666666663</v>
      </c>
      <c r="B7" s="79" t="str">
        <f>IF(A6 &lt;&gt; "", IF(A5="DIMANCHE", "(majoration dimanche)", ""), "")</f>
        <v/>
      </c>
      <c r="C7" s="80">
        <f>IF(C6 = C5, (MOD(D6-D5,1)),0)</f>
        <v>0</v>
      </c>
      <c r="D7" s="81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3"/>
      <c r="H7" s="21">
        <f>IF(E5&lt;=10/24,0/24,E5-10/24)</f>
        <v>0</v>
      </c>
    </row>
    <row r="8" spans="1:9" ht="16.95" customHeight="1">
      <c r="A8" s="74" t="str">
        <f>CHOOSE(WEEKDAY(A6+1,2),"LUNDI","MARDI","MERCREDI","JEUDI","VENDREDI","SAMEDI","DIMANCHE")</f>
        <v>MARDI</v>
      </c>
      <c r="B8" s="82" t="str">
        <f>IF(OR(C8&lt;&gt;0, C9 &lt;&gt;0), IF(MOD(C9-C8, 1) &lt; 0.041, "(pause réduite)", ""), "")</f>
        <v/>
      </c>
      <c r="C8" s="103">
        <v>0</v>
      </c>
      <c r="D8" s="75"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05">
        <v>0</v>
      </c>
      <c r="I8" s="88"/>
    </row>
    <row r="9" spans="1:9" ht="16.95" customHeight="1">
      <c r="A9" s="76">
        <f>IF(AND(DATE(YEAR(D2),MONTH(D2),DAY(D2))&lt;DATE(YEAR(D3),MONTH(D3),DAY(D3)), A6&lt;&gt;""),DATE(YEAR(D2),MONTH(D2),DAY(D2)+1),"")</f>
        <v>43985</v>
      </c>
      <c r="B9" s="4" t="str">
        <f>IF(E9=0 / 24, "","(journée continue)")</f>
        <v/>
      </c>
      <c r="C9" s="103">
        <v>0</v>
      </c>
      <c r="D9" s="83">
        <v>0</v>
      </c>
      <c r="E9" s="121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37"/>
      <c r="H9" s="18"/>
    </row>
    <row r="10" spans="1:9" ht="16.95" customHeight="1">
      <c r="A10" s="78">
        <f>IF(A9 = "", Deb, IF(A9&gt;DATE(YEAR(A9),3,31),IF(A9&lt;DATE(YEAR(A9),10,1),22/24,20/24),20/24))</f>
        <v>0.91666666666666663</v>
      </c>
      <c r="B10" s="79" t="str">
        <f>IF(A9 &lt;&gt; "", IF(A8="DIMANCHE", "(majoration dimanche)", ""), "")</f>
        <v/>
      </c>
      <c r="C10" s="80">
        <f>IF(C9 = C8, (MOD(D9-D8,1)),0)</f>
        <v>0</v>
      </c>
      <c r="D10" s="81">
        <f>IF(C8=0 / 24,0,IF((MOD(C8-D8,1))&lt;6 / 24,0,0.5 / 24))</f>
        <v>0</v>
      </c>
      <c r="E10" s="80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3"/>
      <c r="H10" s="209">
        <f>IF(E8&lt;=10/24,0/24,E8-10/24)</f>
        <v>0</v>
      </c>
    </row>
    <row r="11" spans="1:9" ht="16.95" customHeight="1">
      <c r="A11" s="74" t="str">
        <f>CHOOSE(WEEKDAY(A6+2,2),"LUNDI","MARDI","MERCREDI","JEUDI","VENDREDI","SAMEDI","DIMANCHE")</f>
        <v>MERCREDI</v>
      </c>
      <c r="B11" s="82" t="str">
        <f>IF(OR(C11&lt;&gt;0, C12 &lt;&gt;0), IF(MOD(C12-C11, 1) &lt; 0.041, "(pause réduite)", ""), "")</f>
        <v/>
      </c>
      <c r="C11" s="103">
        <v>0</v>
      </c>
      <c r="D11" s="75"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9">
        <f>IF(AND(D8=0, D9=0), 0/24, (IF(D11=0/24,0/24,IF((MOD(D11-D9,1))&gt;=11/24,0/24,11/24-(MOD(D11-D9,1))))))</f>
        <v>0</v>
      </c>
      <c r="H11" s="105">
        <v>0</v>
      </c>
    </row>
    <row r="12" spans="1:9" ht="16.95" customHeight="1">
      <c r="A12" s="76">
        <f>IF(AND(DATE(YEAR(A9),MONTH(A9),DAY(A9))&lt;DATE(YEAR(D3),MONTH(D3),DAY(D3)), A9&lt;&gt;""),DATE(YEAR(D2),MONTH(D2),DAY(D2)+2), "")</f>
        <v>43986</v>
      </c>
      <c r="B12" s="4" t="str">
        <f>IF(E12=0 / 24, "","(journée continue)")</f>
        <v/>
      </c>
      <c r="C12" s="103">
        <v>0</v>
      </c>
      <c r="D12" s="83">
        <v>0</v>
      </c>
      <c r="E12" s="121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137"/>
      <c r="H12" s="18"/>
    </row>
    <row r="13" spans="1:9" ht="16.95" customHeight="1">
      <c r="A13" s="78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0">
        <f>IF(C12 = C11, (MOD(D12-D11,1)),0)</f>
        <v>0</v>
      </c>
      <c r="D13" s="81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4"/>
      <c r="H13" s="21">
        <f>IF(E11&lt;=10/24,0/24,E11-10/24)</f>
        <v>0</v>
      </c>
    </row>
    <row r="14" spans="1:9" ht="16.95" customHeight="1">
      <c r="A14" s="74" t="str">
        <f>CHOOSE(WEEKDAY(A6+3,2),"LUNDI","MARDI","MERCREDI","JEUDI","VENDREDI","SAMEDI","DIMANCHE")</f>
        <v>JEUDI</v>
      </c>
      <c r="B14" s="82" t="str">
        <f>IF(OR(C14&lt;&gt;0, C15 &lt;&gt;0), IF(MOD(C15-C14, 1) &lt; 0.041, "(pause réduite)", ""), "")</f>
        <v/>
      </c>
      <c r="C14" s="103">
        <v>0</v>
      </c>
      <c r="D14" s="75"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05">
        <v>0</v>
      </c>
    </row>
    <row r="15" spans="1:9" ht="16.95" customHeight="1">
      <c r="A15" s="76">
        <f>IF(A12&lt;&gt; "", (IF(DATE(YEAR(A12),MONTH(A12),DAY(A12))&lt;DATE(YEAR(D3),MONTH(D3),DAY(D3)),DATE(YEAR(D2),MONTH(D2),(DAY(D2)+3)), "")), "")</f>
        <v>43987</v>
      </c>
      <c r="B15" s="4" t="str">
        <f>IF(E15=0 / 24, "","(journée continue)")</f>
        <v/>
      </c>
      <c r="C15" s="103">
        <v>0</v>
      </c>
      <c r="D15" s="83">
        <v>0</v>
      </c>
      <c r="E15" s="121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37"/>
      <c r="H15" s="18"/>
    </row>
    <row r="16" spans="1:9" ht="16.95" customHeight="1">
      <c r="A16" s="78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0">
        <f>IF(C14 = C15, (MOD(D15-D14,1)),0)</f>
        <v>0</v>
      </c>
      <c r="D16" s="81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19"/>
      <c r="H16" s="21">
        <f>IF(E14&lt;=10/24,0/24,E14-10/24)</f>
        <v>0</v>
      </c>
    </row>
    <row r="17" spans="1:9" ht="16.95" customHeight="1">
      <c r="A17" s="74" t="str">
        <f>CHOOSE(WEEKDAY(A6+4,2),"LUNDI","MARDI","MERCREDI","JEUDI","VENDREDI","SAMEDI","DIMANCHE")</f>
        <v>VENDREDI</v>
      </c>
      <c r="B17" s="82" t="str">
        <f>IF(OR(C17&lt;&gt;0, C18 &lt;&gt;0), IF(MOD(C18-C17, 1) &lt; 0.041, "(pause réduite)", ""), "")</f>
        <v/>
      </c>
      <c r="C17" s="103">
        <v>0</v>
      </c>
      <c r="D17" s="75"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0/24,(IF(D17=0/24,0/24,IF((MOD(D17-D15,1))&gt;=11/24,0/24,11/24-(MOD(D17-D15,1))))))</f>
        <v>0</v>
      </c>
      <c r="H17" s="105">
        <v>0</v>
      </c>
    </row>
    <row r="18" spans="1:9" ht="16.95" customHeight="1">
      <c r="A18" s="76">
        <f>IF(A15&lt;&gt; "", (IF(DATE(YEAR(A15),MONTH(A15),DAY(A15))&lt;DATE(YEAR(D3),MONTH(D3),DAY(D3)),DATE(YEAR(D2),MONTH(D2),(DAY(D2)+4)), "")), "")</f>
        <v>43988</v>
      </c>
      <c r="B18" s="4" t="str">
        <f>IF(E18=0 / 24, "","(journée continue)")</f>
        <v/>
      </c>
      <c r="C18" s="103">
        <v>0</v>
      </c>
      <c r="D18" s="83">
        <v>0</v>
      </c>
      <c r="E18" s="121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37"/>
      <c r="H18" s="18"/>
    </row>
    <row r="19" spans="1:9" ht="16.95" customHeight="1">
      <c r="A19" s="78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0">
        <f>IF(C17 = C18, (MOD(D18-D17,1)),0)</f>
        <v>0</v>
      </c>
      <c r="D19" s="81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5"/>
      <c r="H19" s="21">
        <f>IF(E17&lt;=10/24,0/24,E17-10/24)</f>
        <v>0</v>
      </c>
    </row>
    <row r="20" spans="1:9" ht="16.95" customHeight="1">
      <c r="A20" s="74" t="str">
        <f>CHOOSE(WEEKDAY(A6+5,2),"LUNDI","MARDI","MERCREDI","JEUDI","VENDREDI","SAMEDI","DIMANCHE")</f>
        <v>SAMEDI</v>
      </c>
      <c r="B20" s="82" t="str">
        <f>IF(OR(C20&lt;&gt;0, C21 &lt;&gt;0), IF(MOD(C21-C20, 1) &lt; 0.041, "(pause réduite)", ""), "")</f>
        <v/>
      </c>
      <c r="C20" s="103">
        <v>0</v>
      </c>
      <c r="D20" s="75">
        <v>0</v>
      </c>
      <c r="E20" s="9">
        <f>IF(D20= "",0/24,((MOD(D21-D20,1))-MOD(C21-C20,1)))</f>
        <v>0</v>
      </c>
      <c r="F20" s="9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9">
        <f>IF(AND(D17=0, D18=0),0/24, (IF(D20=0/24,0/24,IF((MOD(D20-D18,1))&gt;=11/24,0/24, 11/24-(MOD(D20-D18,1))))))</f>
        <v>0</v>
      </c>
      <c r="H20" s="105">
        <v>0</v>
      </c>
    </row>
    <row r="21" spans="1:9" ht="16.95" customHeight="1">
      <c r="A21" s="76">
        <f>IF(A18&lt;&gt; "", (IF(DATE(YEAR(A18),MONTH(A18),DAY(A18))&lt;DATE(YEAR(D3),MONTH(D3),DAY(D3)),DATE(YEAR(D2),MONTH(D2),(DAY(D2)+5)), "")), "")</f>
        <v>43989</v>
      </c>
      <c r="B21" s="4" t="str">
        <f>IF(E21=0 / 24, "","(journée continue)")</f>
        <v/>
      </c>
      <c r="C21" s="103">
        <v>0</v>
      </c>
      <c r="D21" s="83">
        <v>0</v>
      </c>
      <c r="E21" s="121">
        <f>SUM(D22,E22)</f>
        <v>0</v>
      </c>
      <c r="F21" s="9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137"/>
      <c r="H21" s="22"/>
      <c r="I21" s="124"/>
    </row>
    <row r="22" spans="1:9" ht="17.25" customHeight="1">
      <c r="A22" s="78">
        <f>IF(A21="", Deb, IF(A21&gt;DATE(YEAR(A21),3,20),IF(A21&lt;DATE(YEAR(A21),12,21),22 / 24,20 / 24),20 /24))</f>
        <v>0.91666666666666663</v>
      </c>
      <c r="B22" s="5" t="str">
        <f>IF(A21&lt;&gt;"",IF(A20="DIMANCHE","(majoration dimanche)",""), "")</f>
        <v/>
      </c>
      <c r="C22" s="80">
        <f>IF(C20 = C21, (MOD(D21-D20,1)),0)</f>
        <v>0</v>
      </c>
      <c r="D22" s="81">
        <f>IF(C20=0 / 24,0,IF((MOD(C20-D20,1))&lt;6 / 24,0,0.5 / 24))</f>
        <v>0</v>
      </c>
      <c r="E22" s="19">
        <f>IF(C22&gt;=(6 / 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/>
      <c r="H22" s="21">
        <f>IF(E20&lt;=10/24,0/24,E20-10/24)</f>
        <v>0</v>
      </c>
      <c r="I22" s="124"/>
    </row>
    <row r="23" spans="1:9" ht="17.25" customHeight="1">
      <c r="A23" s="74" t="str">
        <f>CHOOSE(WEEKDAY(A9+5,2),"LUNDI","MARDI","MERCREDI","JEUDI","VENDREDI","SAMEDI","DIMANCHE")</f>
        <v>DIMANCHE</v>
      </c>
      <c r="B23" s="82" t="str">
        <f>IF(OR(C24&lt;&gt;0, C25 &lt;&gt;0,), IF(MOD(C24-C23, 1) &lt; 0.041, "(pause réduite)", ""), "")</f>
        <v/>
      </c>
      <c r="C23" s="103">
        <v>0</v>
      </c>
      <c r="D23" s="75">
        <v>0</v>
      </c>
      <c r="E23" s="9">
        <f>IF(D23= " ",0/24,((MOD(D24-D23,1))-MOD(C24-C23,1)))</f>
        <v>0</v>
      </c>
      <c r="F23" s="9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9">
        <f>IF(AND(D20=0, D21=0),0/24, (IF(D23=0/24,0/24,IF((MOD(D23-D21,1))&gt;=11/24,0/24, 11/24-(MOD(D23-D21,1))))))</f>
        <v>0</v>
      </c>
      <c r="H23" s="105">
        <v>0</v>
      </c>
      <c r="I23" s="124"/>
    </row>
    <row r="24" spans="1:9" ht="17.25" customHeight="1">
      <c r="A24" s="76">
        <f>IF(A21&lt;&gt; "", (IF(DATE(YEAR(A21),MONTH(A21),DAY(A21))&lt;DATE(YEAR(D3),MONTH(D3),DAY(D3)),DATE(YEAR(D2),MONTH(D2),(DAY(D2)+6)), "")), "")</f>
        <v>43990</v>
      </c>
      <c r="B24" s="4" t="str">
        <f>IF(E24=0 / 24, "","(journée continue)")</f>
        <v/>
      </c>
      <c r="C24" s="103">
        <v>0</v>
      </c>
      <c r="D24" s="75">
        <v>0</v>
      </c>
      <c r="E24" s="121">
        <f>SUM(D25,E25)</f>
        <v>0</v>
      </c>
      <c r="F24" s="9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137"/>
      <c r="H24" s="202"/>
      <c r="I24" s="124"/>
    </row>
    <row r="25" spans="1:9" ht="16.95" customHeight="1">
      <c r="A25" s="78">
        <f>IF(A24="", Deb, IF(A24&gt;DATE(YEAR(A24),3,20),IF(A24&lt;DATE(YEAR(A24),12,21),22 / 24,20 / 24),20 /24))</f>
        <v>0.91666666666666663</v>
      </c>
      <c r="B25" s="5" t="str">
        <f>IF(A24&lt;&gt;"",IF(A23="DIMANCHE",IF(E23 &gt; 0/24, "(majoration dimanche)", ""),""),"")</f>
        <v/>
      </c>
      <c r="C25" s="80">
        <f>IF(C23 = C24, (MOD(D24-D23,1)),0)</f>
        <v>0</v>
      </c>
      <c r="D25" s="81">
        <f>IF(C23=0 / 24,0,IF((MOD(C23-D23,1))&lt;6 / 24,0,0.5 / 24))</f>
        <v>0</v>
      </c>
      <c r="E25" s="19">
        <f>IF(C25&gt;=(6 / 24),0.5 / 24,(IF(C24 = C23, IF(MOD(D24-D23, 1) &lt;6/24, 0, 0.5/24), IF((MOD(D24-C24,1))&lt;6/24,0,0.5/24))))</f>
        <v>0</v>
      </c>
      <c r="F25" s="5" t="str">
        <f>IF(F24=" "," ","(minoration repas nuit)")</f>
        <v xml:space="preserve"> </v>
      </c>
      <c r="G25" s="19">
        <f>SUM(H25+H22+H19+H16+H13+H10+H7)</f>
        <v>0</v>
      </c>
      <c r="H25" s="21">
        <f>IF(E23&lt;=10/24,0/24,E23-10/24)</f>
        <v>0</v>
      </c>
    </row>
    <row r="26" spans="1:9" ht="16.95" customHeight="1" thickBot="1">
      <c r="A26" s="117"/>
      <c r="B26" s="129" t="str">
        <f>IF(H27 &gt;=6, "(maj 100% 6ème jour+recup.)", "")</f>
        <v/>
      </c>
      <c r="C26" s="106"/>
      <c r="D26" s="107" t="s">
        <v>18</v>
      </c>
      <c r="E26" s="108">
        <f>SUM(E5,E8,E11,E14,E17,E20,E23)</f>
        <v>0</v>
      </c>
      <c r="F26" s="108">
        <f>SUM(F5,F6,F8,F9,F11,F12,F14,F15,F17,F18,F20,F21,F23,F24)</f>
        <v>0</v>
      </c>
      <c r="G26" s="109">
        <f>SUM(G5,G8,G11,G14,G17,G20,G23)</f>
        <v>0</v>
      </c>
      <c r="H26" s="110">
        <f>SUM(H24,H23,H21,H20,H18,H17,H15,H14,H12,H11,H9,H8,H6,H5)</f>
        <v>0</v>
      </c>
    </row>
    <row r="27" spans="1:9" ht="16.95" customHeight="1" thickBot="1">
      <c r="A27" s="118">
        <f>IF(OR(D5=0, D5=""), IF(OR(D6=0, D6=""),  0, 36 / 60), 36/ 60)</f>
        <v>0</v>
      </c>
      <c r="B27" s="119">
        <f>IF(OR(D8=0, D8=""), IF(OR(D9=0, D9=""),  0, 36/60), 36/60)</f>
        <v>0</v>
      </c>
      <c r="C27" s="87">
        <f>IF(OR(D11=0, D11=""), IF(OR(D12=0, D12=""),  0, 36/60), 36/60)</f>
        <v>0</v>
      </c>
      <c r="D27" s="87">
        <f>IF(OR(D14=0, D14=""), IF(OR(D15=0, D15=""),  0, 36/ 60), 36/60)</f>
        <v>0</v>
      </c>
      <c r="E27" s="87">
        <f>IF(OR(D17=0, D17=""), IF(OR(D18=0, D18=""),  0, 36/ 60), 36/60)</f>
        <v>0</v>
      </c>
      <c r="F27" s="87">
        <f>IF(OR(D20=0, D20=""), IF(OR(D21=0, D21=""),  0, 36/60), 36/60)</f>
        <v>0</v>
      </c>
      <c r="G27" s="138">
        <f>IF(OR(D23=0, D23=""), IF(OR(D24=0, D24=""),  0, 36/60), 36/60)</f>
        <v>0</v>
      </c>
      <c r="H27" s="195">
        <f>IF(A27 &gt; 0, 1, 0) + IF(B27 &gt; 0, 1, 0) + IF(C27 &gt; 0, 1, 0) + IF(D27 &gt; 0, 1, 0) + IF(E27 &gt; 0, 1, 0) + IF(F27 &gt; 0, 1, 0) + IF(G27 &gt; 0, 1, 0)</f>
        <v>0</v>
      </c>
      <c r="I27" s="139"/>
    </row>
    <row r="28" spans="1:9" s="3" customFormat="1" ht="15.6">
      <c r="A28" s="26"/>
      <c r="B28" s="92">
        <f>IF(F6 &lt;&gt; " ", IF(F5&gt;8 / 24,F6+F5-8 / 24,0 /24),  IF(F5&gt;8 / 24,F5-8 / 24,0 /24))</f>
        <v>0</v>
      </c>
      <c r="C28" s="25"/>
      <c r="D28" s="27" t="s">
        <v>5</v>
      </c>
      <c r="E28" s="28"/>
      <c r="F28" s="29" t="s">
        <v>30</v>
      </c>
      <c r="G28" s="29"/>
      <c r="H28" s="97"/>
    </row>
    <row r="29" spans="1:9" ht="16.95" customHeight="1">
      <c r="A29" s="26"/>
      <c r="B29" s="92">
        <f>IF(F9 &lt;&gt; " ", IF(F8&gt;8 / 24,F9+F8-8 / 24,0 /24), IF(F8&gt;8 / 24,F8-8 / 24,0 /24) )</f>
        <v>0</v>
      </c>
      <c r="C29" s="25"/>
      <c r="D29" s="30" t="s">
        <v>1</v>
      </c>
      <c r="E29" s="31"/>
      <c r="F29" s="206">
        <v>1193.9903899999999</v>
      </c>
      <c r="G29" s="32"/>
      <c r="H29" s="98"/>
    </row>
    <row r="30" spans="1:9" ht="16.95" customHeight="1" thickBot="1">
      <c r="A30" s="26"/>
      <c r="B30" s="92">
        <f>IF(F12 &lt;&gt; " ", IF(F11&gt;8 / 24,F12+F11-8 / 24,0 /24),IF(F11&gt;8 / 24,F11-8 / 24,0 /24))</f>
        <v>0</v>
      </c>
      <c r="C30" s="25"/>
      <c r="D30" s="33" t="s">
        <v>4</v>
      </c>
      <c r="E30" s="34"/>
      <c r="F30" s="207">
        <f>+F29/35</f>
        <v>34.114011142857144</v>
      </c>
      <c r="G30" s="140">
        <f>+G29/35</f>
        <v>0</v>
      </c>
      <c r="H30" s="141">
        <f>+H29/35</f>
        <v>0</v>
      </c>
    </row>
    <row r="31" spans="1:9" ht="16.95" customHeight="1">
      <c r="A31" s="127">
        <f>IF(E34+E42&gt;=0,-E42,-E42-(-E42-E34))</f>
        <v>0</v>
      </c>
      <c r="B31" s="92">
        <f>IF(F15 &lt;&gt; " ", IF(F14&gt;8 / 24,F15+F14-8 / 24,0 /24), IF(F14&gt;8 / 24,F14-8 / 24,0 /24))</f>
        <v>0</v>
      </c>
      <c r="C31" s="36"/>
      <c r="D31" s="210" t="s">
        <v>0</v>
      </c>
      <c r="E31" s="38">
        <f>IF(E26&gt;35 / 24,35 / 24,E26)</f>
        <v>0</v>
      </c>
      <c r="F31" s="39">
        <f>(F30*E31)*24</f>
        <v>0</v>
      </c>
      <c r="G31" s="142">
        <f>(G30*E31)*24</f>
        <v>0</v>
      </c>
      <c r="H31" s="143">
        <f>(H30*E31)*24</f>
        <v>0</v>
      </c>
    </row>
    <row r="32" spans="1:9" s="3" customFormat="1" ht="16.95" customHeight="1">
      <c r="A32" s="128">
        <f>IF(A31 &lt;&gt; -E42, IF(E33 &gt; (-E42-E34), -E42-A31, -E42-(-E42-E34-E33)), 0)</f>
        <v>0</v>
      </c>
      <c r="B32" s="92">
        <f>IF(F18 &lt;&gt; " ", IF(F17&gt;8 / 24,F18+F17-8 / 24,0 /24), IF(F17&gt;8 / 24,F17-8 / 24,0 /24))</f>
        <v>0</v>
      </c>
      <c r="C32" s="40" t="s">
        <v>20</v>
      </c>
      <c r="D32" s="211" t="s">
        <v>6</v>
      </c>
      <c r="E32" s="42">
        <f>IF(E26&gt;35 / 24,IF(E26&lt;43 / 24,E26-35 / 24,8 / 24),0 / 24)</f>
        <v>0</v>
      </c>
      <c r="F32" s="43">
        <f>((F30*E32)*24)*1.25</f>
        <v>0</v>
      </c>
      <c r="G32" s="144">
        <f>((G30*E32)*24)*1.25</f>
        <v>0</v>
      </c>
      <c r="H32" s="145">
        <f>((H30*E32)*24)*1.25</f>
        <v>0</v>
      </c>
    </row>
    <row r="33" spans="1:8" s="3" customFormat="1" ht="16.95" customHeight="1">
      <c r="A33" s="127">
        <f>IF(A31+A32&lt;&gt;-E42,IF(E32&gt;(-E42-E34-E33),-E42-A32, -E42-(-E42-E34-E33-E32)),0)</f>
        <v>0</v>
      </c>
      <c r="B33" s="92">
        <f>IF(F21 &lt;&gt; " ", IF(F20&gt;8 / 24,F21+F20-8 / 24,0 /24), IF(F20&gt;8 / 24,F20-8 / 24,0 /24))</f>
        <v>0</v>
      </c>
      <c r="C33" s="44" t="s">
        <v>23</v>
      </c>
      <c r="D33" s="212" t="s">
        <v>7</v>
      </c>
      <c r="E33" s="46">
        <f>IF(E26&gt;48 / 24,5 / 24,IF(E26&gt;43 / 24,E26-43 / 24,0 / 24))</f>
        <v>0</v>
      </c>
      <c r="F33" s="47">
        <f>((F30*E33)*24)*1.5</f>
        <v>0</v>
      </c>
      <c r="G33" s="146">
        <f>((G30*E33)*24)*1.5</f>
        <v>0</v>
      </c>
      <c r="H33" s="147">
        <f>((H30*E33)*24)*1.5</f>
        <v>0</v>
      </c>
    </row>
    <row r="34" spans="1:8" s="3" customFormat="1" ht="16.95" customHeight="1">
      <c r="A34" s="128">
        <f>IF(A31+A32+A33 &lt;&gt; -E42, IF(E31&gt;(-E42-E34-E33 - E32),-E42-A33, -E42-(-E42-E34-E33-E32-E31)), 0)</f>
        <v>0</v>
      </c>
      <c r="B34" s="92">
        <f>IF(F24 &lt;&gt; " ", IF(F23&gt;8 / 24,F24+F23-8 / 24,0 /24), IF(F23&gt;8 / 24,F23-8 / 24,0 /24))</f>
        <v>0</v>
      </c>
      <c r="C34" s="40" t="s">
        <v>24</v>
      </c>
      <c r="D34" s="211" t="s">
        <v>21</v>
      </c>
      <c r="E34" s="42">
        <f>IF(E26&gt;48 / 24,E26- 48 / 24,0 /24)</f>
        <v>0</v>
      </c>
      <c r="F34" s="43">
        <f>((F30*E34)*24)*1.75</f>
        <v>0</v>
      </c>
      <c r="G34" s="144">
        <f>((G30*E34)*24)*1.75</f>
        <v>0</v>
      </c>
      <c r="H34" s="145">
        <f>((H30*E34)*24)*1.75</f>
        <v>0</v>
      </c>
    </row>
    <row r="35" spans="1:8" s="3" customFormat="1" ht="16.95" customHeight="1">
      <c r="A35" s="104"/>
      <c r="B35" s="84"/>
      <c r="C35" s="48"/>
      <c r="D35" s="213" t="s">
        <v>22</v>
      </c>
      <c r="E35" s="50">
        <f>G25</f>
        <v>0</v>
      </c>
      <c r="F35" s="51">
        <f>(F30*E35)*24</f>
        <v>0</v>
      </c>
      <c r="G35" s="148">
        <f>(G30*E35)*24</f>
        <v>0</v>
      </c>
      <c r="H35" s="149">
        <f>(H30*E35)*24</f>
        <v>0</v>
      </c>
    </row>
    <row r="36" spans="1:8" s="3" customFormat="1" ht="16.95" customHeight="1" thickBot="1">
      <c r="A36" s="35"/>
      <c r="B36" s="52" t="str">
        <f>IF(Deb &lt; 0.9, "(Studio Agréé 21h à 6h)", "Studio de 22h à 6h")</f>
        <v>Studio de 22h à 6h</v>
      </c>
      <c r="C36" s="53"/>
      <c r="D36" s="214" t="s">
        <v>26</v>
      </c>
      <c r="E36" s="55">
        <f>F26</f>
        <v>0</v>
      </c>
      <c r="F36" s="56">
        <f>((F30*(SUM(F26,B28,B29,B30,B31,B32,B33,B34)))*24)*0.5</f>
        <v>0</v>
      </c>
      <c r="G36" s="150">
        <f>((G30*E36)*24)*0.5</f>
        <v>0</v>
      </c>
      <c r="H36" s="151">
        <f>((H30*E36)*24)*0.5</f>
        <v>0</v>
      </c>
    </row>
    <row r="37" spans="1:8" s="3" customFormat="1" ht="16.95" customHeight="1">
      <c r="A37" s="35"/>
      <c r="B37" s="57" t="s">
        <v>9</v>
      </c>
      <c r="C37" s="58"/>
      <c r="D37" s="215" t="s">
        <v>28</v>
      </c>
      <c r="E37" s="60">
        <f>G26</f>
        <v>0</v>
      </c>
      <c r="F37" s="61">
        <f>(F30*E37)*24</f>
        <v>0</v>
      </c>
      <c r="G37" s="152">
        <f>(G30*E37)*24</f>
        <v>0</v>
      </c>
      <c r="H37" s="153">
        <f>(H30*E37)*24</f>
        <v>0</v>
      </c>
    </row>
    <row r="38" spans="1:8" s="3" customFormat="1" ht="16.95" customHeight="1">
      <c r="A38" s="35"/>
      <c r="B38" s="62">
        <f>IF(D2&gt;DATE(YEAR(D2),3,31),IF(D2&lt;DATE(YEAR(D2),10,1),22 / 24,20 / 24),20 /24)</f>
        <v>0.91666666666666663</v>
      </c>
      <c r="C38" s="94"/>
      <c r="D38" s="214" t="s">
        <v>25</v>
      </c>
      <c r="E38" s="55">
        <f>H26</f>
        <v>0</v>
      </c>
      <c r="F38" s="56">
        <f>(F30*E38)*24</f>
        <v>0</v>
      </c>
      <c r="G38" s="150">
        <f>(G30*E38)*24</f>
        <v>0</v>
      </c>
      <c r="H38" s="151">
        <f>(G30*E38)*24</f>
        <v>0</v>
      </c>
    </row>
    <row r="39" spans="1:8" s="3" customFormat="1" ht="16.95" customHeight="1">
      <c r="A39" s="63"/>
      <c r="B39" s="64" t="s">
        <v>8</v>
      </c>
      <c r="C39" s="111"/>
      <c r="D39" s="215" t="s">
        <v>60</v>
      </c>
      <c r="E39" s="60">
        <f>SUM(E6,E9,E12,E15,E18,E21,E24)</f>
        <v>0</v>
      </c>
      <c r="F39" s="61">
        <f>(F30*E39)*24</f>
        <v>0</v>
      </c>
      <c r="G39" s="152">
        <f>(G30*E39)*24</f>
        <v>0</v>
      </c>
      <c r="H39" s="153">
        <f>(H30*E39)*24</f>
        <v>0</v>
      </c>
    </row>
    <row r="40" spans="1:8" s="3" customFormat="1" ht="16.95" customHeight="1" thickBot="1">
      <c r="A40" s="63" t="s">
        <v>15</v>
      </c>
      <c r="B40" s="65">
        <v>0.25</v>
      </c>
      <c r="C40" s="53"/>
      <c r="D40" s="214" t="s">
        <v>3</v>
      </c>
      <c r="E40" s="55">
        <v>0</v>
      </c>
      <c r="F40" s="56">
        <f>(F30*E40)*24</f>
        <v>0</v>
      </c>
      <c r="G40" s="150">
        <f>(G30*E40)*24</f>
        <v>0</v>
      </c>
      <c r="H40" s="151">
        <f>(H30*E40)*24</f>
        <v>0</v>
      </c>
    </row>
    <row r="41" spans="1:8" ht="16.95" customHeight="1">
      <c r="A41" s="63" t="s">
        <v>54</v>
      </c>
      <c r="B41" s="90"/>
      <c r="C41" s="112"/>
      <c r="D41" s="215" t="s">
        <v>35</v>
      </c>
      <c r="E41" s="122">
        <f>IF(B7&lt;&gt;"",E5,IF(B10&lt;&gt;"",E8,IF(B13&lt;&gt;"",E11,IF(B16&lt;&gt;"",E14,IF(B19&lt;&gt;"",E17,IF(B22&lt;&gt;"",E20, IF(B25&lt;&gt;"",E23, 0)))))))</f>
        <v>0</v>
      </c>
      <c r="F41" s="113">
        <f>(F30*E41)*24</f>
        <v>0</v>
      </c>
      <c r="G41" s="154">
        <v>0</v>
      </c>
      <c r="H41" s="155">
        <v>0</v>
      </c>
    </row>
    <row r="42" spans="1:8" ht="16.2" thickBot="1">
      <c r="A42" s="86" t="s">
        <v>32</v>
      </c>
      <c r="B42" s="90"/>
      <c r="C42" s="114"/>
      <c r="D42" s="216" t="s">
        <v>31</v>
      </c>
      <c r="E42" s="123">
        <f>-IF(H27 &gt; 5, 4/24, (SUM(A27,B27,C27,D27,E27,F27,G27)/24))</f>
        <v>0</v>
      </c>
      <c r="F42" s="116">
        <f>-((A31*F30*24*1.75)+(A32*F30*24*1.5)+(A33*F30*24*1.25)+(A34*F30*24))</f>
        <v>0</v>
      </c>
      <c r="G42" s="156">
        <f>(G30*E42)*24</f>
        <v>0</v>
      </c>
      <c r="H42" s="157">
        <f>(H30*E42)*24</f>
        <v>0</v>
      </c>
    </row>
    <row r="43" spans="1:8" ht="16.2" thickBot="1">
      <c r="A43" s="91"/>
      <c r="B43" s="89"/>
      <c r="C43" s="120"/>
      <c r="D43" s="95" t="s">
        <v>19</v>
      </c>
      <c r="E43" s="96">
        <f>IF(E42 &lt; -3/24, IF(E26&lt;(56/24), 52/24, SUM(E26,E42)),  IF(E42=-3/24, (IF(E26&lt;(46/24), 43/24,SUM(E26,E42))),SUM(E26,E42)))</f>
        <v>0</v>
      </c>
      <c r="F43" s="208">
        <f>IF(E42=-3/24,IF(SUM(F31:F42)&lt;1486.76,1486.76,SUM(F31:F42)),IF(E42&lt;-3/24,IF(SUM(F31:F42)&lt;1965.82,1965.82,SUM(F31:F42)),SUM(F31:F42)))</f>
        <v>0</v>
      </c>
      <c r="G43" s="158">
        <f>SUM(G31:G42)</f>
        <v>0</v>
      </c>
      <c r="H43" s="159">
        <f>SUM(H31:H42)</f>
        <v>0</v>
      </c>
    </row>
    <row r="44" spans="1:8">
      <c r="C44" s="126"/>
      <c r="D44" s="126"/>
      <c r="E44" s="126"/>
    </row>
    <row r="45" spans="1:8">
      <c r="C45" s="126"/>
      <c r="D45" s="126"/>
      <c r="E45" s="126"/>
      <c r="F45" s="126"/>
    </row>
    <row r="46" spans="1:8">
      <c r="B46" s="126"/>
      <c r="C46" s="126"/>
      <c r="D46" s="126"/>
      <c r="E46" s="126"/>
      <c r="F46" s="126"/>
    </row>
    <row r="47" spans="1:8">
      <c r="A47" s="126"/>
      <c r="C47" s="126"/>
      <c r="D47" s="126"/>
      <c r="E47" s="126"/>
      <c r="F47" s="126"/>
    </row>
    <row r="49" spans="1:4">
      <c r="A49" s="126"/>
      <c r="D49" s="126"/>
    </row>
    <row r="50" spans="1:4">
      <c r="C50" s="126"/>
      <c r="D50" s="126"/>
    </row>
    <row r="51" spans="1:4">
      <c r="C51" s="126"/>
      <c r="D51" s="126"/>
    </row>
    <row r="52" spans="1:4">
      <c r="C52" s="126"/>
    </row>
    <row r="53" spans="1:4">
      <c r="C53" s="126"/>
    </row>
    <row r="54" spans="1:4">
      <c r="C54" s="12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3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3"/>
  <sheetViews>
    <sheetView zoomScale="75" zoomScaleNormal="75" workbookViewId="0">
      <selection activeCell="F1" sqref="F1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8" ht="24" customHeight="1">
      <c r="A1" s="66" t="s">
        <v>13</v>
      </c>
      <c r="B1" s="100" t="str">
        <f>'1er Ass'!B1</f>
        <v>"Production"</v>
      </c>
      <c r="C1" s="99"/>
      <c r="D1" s="67" t="str">
        <f>'1er Ass'!D1</f>
        <v>Semaine N°</v>
      </c>
      <c r="E1" s="7" t="s">
        <v>11</v>
      </c>
      <c r="F1" s="23" t="str">
        <f>'1er Ass'!F1</f>
        <v>Caméra</v>
      </c>
      <c r="G1" s="100"/>
      <c r="H1" s="68"/>
    </row>
    <row r="2" spans="1:8" ht="19.95" customHeight="1">
      <c r="A2" s="69" t="s">
        <v>14</v>
      </c>
      <c r="B2" s="101" t="str">
        <f>'1er Ass'!B2</f>
        <v>"Film"</v>
      </c>
      <c r="C2" s="71" t="s">
        <v>58</v>
      </c>
      <c r="D2" s="93">
        <f>'1er Ass'!D2</f>
        <v>43984</v>
      </c>
      <c r="E2" s="71" t="s">
        <v>12</v>
      </c>
      <c r="F2" s="24" t="s">
        <v>39</v>
      </c>
      <c r="G2" s="101"/>
      <c r="H2" s="72"/>
    </row>
    <row r="3" spans="1:8" ht="19.95" customHeight="1" thickBot="1">
      <c r="A3" s="69"/>
      <c r="B3" s="101"/>
      <c r="C3" s="71" t="s">
        <v>59</v>
      </c>
      <c r="D3" s="194">
        <f>D2+DAY(5)</f>
        <v>43990</v>
      </c>
      <c r="E3" s="8"/>
      <c r="F3" s="102"/>
      <c r="G3" s="102"/>
      <c r="H3" s="73"/>
    </row>
    <row r="4" spans="1:8" ht="49.95" customHeight="1">
      <c r="A4" s="14" t="s">
        <v>2</v>
      </c>
      <c r="B4" s="6" t="s">
        <v>34</v>
      </c>
      <c r="C4" s="6" t="s">
        <v>55</v>
      </c>
      <c r="D4" s="6" t="s">
        <v>16</v>
      </c>
      <c r="E4" s="6" t="s">
        <v>61</v>
      </c>
      <c r="F4" s="6" t="s">
        <v>10</v>
      </c>
      <c r="G4" s="15" t="s">
        <v>17</v>
      </c>
      <c r="H4" s="16" t="s">
        <v>27</v>
      </c>
    </row>
    <row r="5" spans="1:8" s="3" customFormat="1" ht="22.95" customHeight="1">
      <c r="A5" s="74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03">
        <f>'1er Ass'!C5</f>
        <v>0</v>
      </c>
      <c r="D5" s="75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05">
        <v>0</v>
      </c>
    </row>
    <row r="6" spans="1:8" ht="16.95" customHeight="1">
      <c r="A6" s="76">
        <f>D2</f>
        <v>43984</v>
      </c>
      <c r="B6" s="77" t="str">
        <f>IF(E6=0 / 24, "","(journée continue)")</f>
        <v/>
      </c>
      <c r="C6" s="103">
        <f>'1er Ass'!C6</f>
        <v>0</v>
      </c>
      <c r="D6" s="75">
        <f>'1er Ass'!D6</f>
        <v>0</v>
      </c>
      <c r="E6" s="121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6.95" customHeight="1">
      <c r="A7" s="78">
        <f>IF(A6 = "", Deb, IF(A6&gt;DATE(YEAR(A6),3,31),IF(A6&lt;DATE(YEAR(A6),10,1),22/24,20/24),20/24))</f>
        <v>0.91666666666666663</v>
      </c>
      <c r="B7" s="79" t="str">
        <f>IF(A6 &lt;&gt; "", IF(A5="DIMANCHE", "(majoration dimanche)", ""), "")</f>
        <v/>
      </c>
      <c r="C7" s="80">
        <f>IF(C6 = C5, (MOD(D6-D5,1)),0)</f>
        <v>0</v>
      </c>
      <c r="D7" s="81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"/>
      <c r="H7" s="21">
        <f>IF(E5&lt;=10/24,0/24,E5-10/24)</f>
        <v>0</v>
      </c>
    </row>
    <row r="8" spans="1:8" ht="16.95" customHeight="1">
      <c r="A8" s="74" t="str">
        <f>CHOOSE(WEEKDAY(A6+1,2),"LUNDI","MARDI","MERCREDI","JEUDI","VENDREDI","SAMEDI","DIMANCHE")</f>
        <v>MARDI</v>
      </c>
      <c r="B8" s="82" t="str">
        <f>IF(OR(C8&lt;&gt;0, C9 &lt;&gt;0), IF(MOD(C9-C8, 1) &lt; 0.041, "(pause réduite)", ""), "")</f>
        <v/>
      </c>
      <c r="C8" s="103">
        <f>'1er Ass'!C8</f>
        <v>0</v>
      </c>
      <c r="D8" s="75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05">
        <v>0</v>
      </c>
    </row>
    <row r="9" spans="1:8" ht="16.95" customHeight="1">
      <c r="A9" s="76">
        <f>IF(AND(DATE(YEAR(D2),MONTH(D2),DAY(D2))&lt;DATE(YEAR(D3),MONTH(D3),DAY(D3)), A6&lt;&gt;""),DATE(YEAR(D2),MONTH(D2),DAY(D2)+1),"")</f>
        <v>43985</v>
      </c>
      <c r="B9" s="4" t="str">
        <f>IF(E9=0 / 24, "","(journée continue)")</f>
        <v/>
      </c>
      <c r="C9" s="103">
        <f>'1er Ass'!C9</f>
        <v>0</v>
      </c>
      <c r="D9" s="75">
        <f>'1er Ass'!D9</f>
        <v>0</v>
      </c>
      <c r="E9" s="121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6.95" customHeight="1">
      <c r="A10" s="78">
        <f>IF(A9 = "", Deb, IF(A9&gt;DATE(YEAR(A9),3,31),IF(A9&lt;DATE(YEAR(A9),10,1),22/24,20/24),20/24))</f>
        <v>0.91666666666666663</v>
      </c>
      <c r="B10" s="79" t="str">
        <f>IF(A9 &lt;&gt; "", IF(A8="DIMANCHE", "(majoration dimanche)", ""), "")</f>
        <v/>
      </c>
      <c r="C10" s="80">
        <f>IF(C9 = C8, (MOD(D9-D8,1)),0)</f>
        <v>0</v>
      </c>
      <c r="D10" s="81">
        <f>IF(C8=0 / 24,0,IF((MOD(C8-D8,1))&lt;6 / 24,0,0.5 / 24))</f>
        <v>0</v>
      </c>
      <c r="E10" s="80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"/>
      <c r="H10" s="209">
        <f>IF(E8&lt;=10/24,0/24,E8-10/24)</f>
        <v>0</v>
      </c>
    </row>
    <row r="11" spans="1:8" ht="16.95" customHeight="1">
      <c r="A11" s="74" t="str">
        <f>CHOOSE(WEEKDAY(A6+2,2),"LUNDI","MARDI","MERCREDI","JEUDI","VENDREDI","SAMEDI","DIMANCHE")</f>
        <v>MERCREDI</v>
      </c>
      <c r="B11" s="82" t="str">
        <f>IF(OR(C11&lt;&gt;0, C12 &lt;&gt;0), IF(MOD(C12-C11, 1) &lt; 0.041, "(pause réduite)", ""), "")</f>
        <v/>
      </c>
      <c r="C11" s="103">
        <f>'1er Ass'!C11</f>
        <v>0</v>
      </c>
      <c r="D11" s="75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5">
        <f>IF(AND(D8=0, D9=0), 0/24, (IF(D11=0/24,0/24,IF((MOD(D11-D9,1))&gt;=11/24,0/24,11/24-(MOD(D11-D9,1))))))</f>
        <v>0</v>
      </c>
      <c r="H11" s="105">
        <v>0</v>
      </c>
    </row>
    <row r="12" spans="1:8" ht="16.95" customHeight="1">
      <c r="A12" s="76">
        <f>IF(AND(DATE(YEAR(A9),MONTH(A9),DAY(A9))&lt;DATE(YEAR(D3),MONTH(D3),DAY(D3)), A9&lt;&gt;""),DATE(YEAR(D2),MONTH(D2),DAY(D2)+2), "")</f>
        <v>43986</v>
      </c>
      <c r="B12" s="4" t="str">
        <f>IF(E12=0 / 24, "","(journée continue)")</f>
        <v/>
      </c>
      <c r="C12" s="103">
        <f>'1er Ass'!C12</f>
        <v>0</v>
      </c>
      <c r="D12" s="83">
        <f>'1er Ass'!D12</f>
        <v>0</v>
      </c>
      <c r="E12" s="121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6.95" customHeight="1">
      <c r="A13" s="78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0">
        <f>IF(C12 = C11, (MOD(D12-D11,1)),0)</f>
        <v>0</v>
      </c>
      <c r="D13" s="81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"/>
      <c r="H13" s="21">
        <f>IF(E11&lt;=10/24,0/24,E11-10/24)</f>
        <v>0</v>
      </c>
    </row>
    <row r="14" spans="1:8" ht="16.95" customHeight="1">
      <c r="A14" s="74" t="str">
        <f>CHOOSE(WEEKDAY(A6+3,2),"LUNDI","MARDI","MERCREDI","JEUDI","VENDREDI","SAMEDI","DIMANCHE")</f>
        <v>JEUDI</v>
      </c>
      <c r="B14" s="82" t="str">
        <f>IF(OR(C14&lt;&gt;0, C15 &lt;&gt;0), IF(MOD(C15-C14, 1) &lt; 0.041, "(pause réduite)", ""), "")</f>
        <v/>
      </c>
      <c r="C14" s="103">
        <f>'1er Ass'!C14</f>
        <v>0</v>
      </c>
      <c r="D14" s="75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05">
        <v>0</v>
      </c>
    </row>
    <row r="15" spans="1:8" ht="16.95" customHeight="1">
      <c r="A15" s="76">
        <f>IF(A12&lt;&gt; "", (IF(DATE(YEAR(A12),MONTH(A12),DAY(A12))&lt;DATE(YEAR(D3),MONTH(D3),DAY(D3)),DATE(YEAR(D2),MONTH(D2),(DAY(D2)+3)), "")), "")</f>
        <v>43987</v>
      </c>
      <c r="B15" s="4" t="str">
        <f>IF(E15=0 / 24, "","(journée continue)")</f>
        <v/>
      </c>
      <c r="C15" s="103">
        <f>'1er Ass'!C15</f>
        <v>0</v>
      </c>
      <c r="D15" s="75">
        <f>'1er Ass'!D15</f>
        <v>0</v>
      </c>
      <c r="E15" s="121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6.95" customHeight="1">
      <c r="A16" s="78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0">
        <f>IF(C14 = C15, (MOD(D15-D14,1)),0)</f>
        <v>0</v>
      </c>
      <c r="D16" s="81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20"/>
      <c r="H16" s="21">
        <f>IF(E14&lt;=10/24,0/24,E14-10/24)</f>
        <v>0</v>
      </c>
    </row>
    <row r="17" spans="1:8" ht="16.95" customHeight="1">
      <c r="A17" s="74" t="str">
        <f>CHOOSE(WEEKDAY(A6+4,2),"LUNDI","MARDI","MERCREDI","JEUDI","VENDREDI","SAMEDI","DIMANCHE")</f>
        <v>VENDREDI</v>
      </c>
      <c r="B17" s="82" t="str">
        <f>IF(OR(C17&lt;&gt;0, C18 &lt;&gt;0), IF(MOD(C18-C17, 1) &lt; 0.041, "(pause réduite)", ""), "")</f>
        <v/>
      </c>
      <c r="C17" s="103">
        <f>'1er Ass'!C17</f>
        <v>0</v>
      </c>
      <c r="D17" s="75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05">
        <v>0</v>
      </c>
    </row>
    <row r="18" spans="1:8" ht="16.95" customHeight="1">
      <c r="A18" s="76">
        <f>IF(A15&lt;&gt; "", (IF(DATE(YEAR(A15),MONTH(A15),DAY(A15))&lt;DATE(YEAR(D3),MONTH(D3),DAY(D3)),DATE(YEAR(D2),MONTH(D2),(DAY(D2)+4)), "")), "")</f>
        <v>43988</v>
      </c>
      <c r="B18" s="4" t="str">
        <f>IF(E18=0 / 24, "","(journée continue)")</f>
        <v/>
      </c>
      <c r="C18" s="103">
        <f>'1er Ass'!C18</f>
        <v>0</v>
      </c>
      <c r="D18" s="75">
        <f>'1er Ass'!D18</f>
        <v>0</v>
      </c>
      <c r="E18" s="121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6.95" customHeight="1">
      <c r="A19" s="78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0">
        <f>IF(C17 = C18, (MOD(D18-D17,1)),0)</f>
        <v>0</v>
      </c>
      <c r="D19" s="81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"/>
      <c r="H19" s="21">
        <f>IF(E17&lt;=10/24,0/24,E17-10/24)</f>
        <v>0</v>
      </c>
    </row>
    <row r="20" spans="1:8" ht="16.95" customHeight="1">
      <c r="A20" s="74" t="str">
        <f>CHOOSE(WEEKDAY(A6+5,2),"LUNDI","MARDI","MERCREDI","JEUDI","VENDREDI","SAMEDI","DIMANCHE")</f>
        <v>SAMEDI</v>
      </c>
      <c r="B20" s="82" t="str">
        <f>IF(OR(C20&lt;&gt;0, C21 &lt;&gt;0), IF(MOD(C21-C20, 1) &lt; 0.041, "(pause réduite)", ""), "")</f>
        <v/>
      </c>
      <c r="C20" s="103">
        <f>'1er Ass'!C20</f>
        <v>0</v>
      </c>
      <c r="D20" s="75">
        <f>'1er Ass'!D20</f>
        <v>0</v>
      </c>
      <c r="E20" s="9">
        <f>IF(D20= "",0/24,((MOD(D21-D20,1))-MOD(C21-C20,1)))</f>
        <v>0</v>
      </c>
      <c r="F20" s="9">
        <f>IF(AND(D20&gt;=D21,D20&lt;=A25,D20&lt;&gt;0,D21&lt;&gt;" "),MOD(Fin-A25,1)-IF(D21&lt;=Fin,Fin-D21)+IF(D20&lt;=Fin,Fin-D20),IF(AND(D20&gt;=D21,D20&gt;A25,D20&lt;&gt;0,D21&lt;&gt;0),MOD(Fin-A25,1)-(D20-A25)+IF(D21&gt;=A25,D21-A25)-IF(D21&lt;Fin,Fin-D21),IF(AND(D20&lt;D21,ISNUMBER(D20),D21&lt;&gt;0),0+IF(AND(D20&lt;=Fin,D21&lt;=Fin),D21-D20)+IF(AND(D20&lt;=Fin,D21&gt;Fin),Fin-D20)+IF(D21&gt;=A25,D21-D20-IF(D20&lt;=A25,A25-D20)),0)))</f>
        <v>0</v>
      </c>
      <c r="G20" s="9">
        <f>IF(AND(D17=0, D18=0),0/24, (IF(D20=0/24,0/24,IF((MOD(D20-D18,1))&gt;= 11/24,0/24,11/24-(MOD(D20-D18,1))))))</f>
        <v>0</v>
      </c>
      <c r="H20" s="105">
        <v>0</v>
      </c>
    </row>
    <row r="21" spans="1:8" ht="16.95" customHeight="1">
      <c r="A21" s="76">
        <f>IF(A18&lt;&gt; "", (IF(DATE(YEAR(A18),MONTH(A18),DAY(A18))&lt;DATE(YEAR(D3),MONTH(D3),DAY(D3)),DATE(YEAR(D2),MONTH(D2),(DAY(D2)+5)), "")), "")</f>
        <v>43989</v>
      </c>
      <c r="B21" s="4" t="str">
        <f>IF(E21=0 / 24, "","(journée continue)")</f>
        <v/>
      </c>
      <c r="C21" s="103">
        <f>'1er Ass'!C21</f>
        <v>0</v>
      </c>
      <c r="D21" s="75">
        <f>'1er Ass'!D21</f>
        <v>0</v>
      </c>
      <c r="E21" s="121">
        <f>SUM(D22,E22)</f>
        <v>0</v>
      </c>
      <c r="F21" s="9" t="str">
        <f>IF(OR(C20 &lt;&gt; 0, C21 &lt;&gt; 0), IF(C20&gt;=A25,-(MOD(C21-C20,1)),IF(C21&lt;=Fin,-(MOD(C21-C20,1)),IF(C20&lt;Fin, IF(C21&gt;=Fin, -MOD(Fin-C20,1), -(MOD(C21-Fin,1))),IF(C21&gt;A25,-(MOD(C21-A25,1)), " ")))), " ")</f>
        <v xml:space="preserve"> </v>
      </c>
      <c r="G21" s="17"/>
      <c r="H21" s="22"/>
    </row>
    <row r="22" spans="1:8" ht="16.95" customHeight="1">
      <c r="A22" s="78">
        <f>IF(A21="", Deb, IF(A21&gt;DATE(YEAR(A21),3,20),IF(A21&lt;DATE(YEAR(A21),12,21),22 / 24,20 / 24),20 /24))</f>
        <v>0.91666666666666663</v>
      </c>
      <c r="B22" s="5" t="str">
        <f>IF(A21&lt;&gt;"",IF(A20="DIMANCHE","(majoration dimanche)",""), "")</f>
        <v/>
      </c>
      <c r="C22" s="80">
        <f>IF(C20 = C21, (MOD(D21-D20,1)),0)</f>
        <v>0</v>
      </c>
      <c r="D22" s="81">
        <f>IF(C20=0 / 24,0,IF((MOD(C20-D20,1))&lt;6 / 24,0,0.5 / 24))</f>
        <v>0</v>
      </c>
      <c r="E22" s="19">
        <f>IF(C22&gt;=(6 / 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/>
      <c r="H22" s="21">
        <f>IF(E20&lt;=10/24,0/24,E20-10/24)</f>
        <v>0</v>
      </c>
    </row>
    <row r="23" spans="1:8" ht="16.95" customHeight="1">
      <c r="A23" s="74" t="str">
        <f>CHOOSE(WEEKDAY(A9+5,2),"LUNDI","MARDI","MERCREDI","JEUDI","VENDREDI","SAMEDI","DIMANCHE")</f>
        <v>DIMANCHE</v>
      </c>
      <c r="B23" s="82" t="str">
        <f>IF(OR(C24&lt;&gt;0, C25 &lt;&gt;0,), IF(MOD(C24-C23, 1) &lt; 0.041, "(pause réduite)", ""), "")</f>
        <v/>
      </c>
      <c r="C23" s="103">
        <f>'1er Ass'!C23</f>
        <v>0</v>
      </c>
      <c r="D23" s="75">
        <f>'1er Ass'!D23</f>
        <v>0</v>
      </c>
      <c r="E23" s="9">
        <f>IF(D23= " ",0/24,((MOD(D24-D23,1))-MOD(C24-C23,1)))</f>
        <v>0</v>
      </c>
      <c r="F23" s="9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9">
        <f>IF(AND(D20=0, D21=0),0/24, (IF(D23=0/24,0/24,IF((MOD(D23-D21,1))&gt;=11/24,0/24, 11/24-(MOD(D23-D21,1))))))</f>
        <v>0</v>
      </c>
      <c r="H23" s="105">
        <v>0</v>
      </c>
    </row>
    <row r="24" spans="1:8" ht="16.95" customHeight="1">
      <c r="A24" s="76">
        <f>IF(A21&lt;&gt; "", (IF(DATE(YEAR(A21),MONTH(A21),DAY(A21))&lt;DATE(YEAR(D3),MONTH(D3),DAY(D3)),DATE(YEAR(D2),MONTH(D2),(DAY(D2)+6)), "")), "")</f>
        <v>43990</v>
      </c>
      <c r="B24" s="4" t="str">
        <f>IF(E24=0 / 24, "","(journée continue)")</f>
        <v/>
      </c>
      <c r="C24" s="103">
        <f>'1er Ass'!C24</f>
        <v>0</v>
      </c>
      <c r="D24" s="75">
        <f>'1er Ass'!D24</f>
        <v>0</v>
      </c>
      <c r="E24" s="121">
        <f>SUM(D25,E25)</f>
        <v>0</v>
      </c>
      <c r="F24" s="9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137"/>
      <c r="H24" s="202"/>
    </row>
    <row r="25" spans="1:8" s="3" customFormat="1" ht="16.8" customHeight="1">
      <c r="A25" s="78">
        <f>IF(A24="", Deb, IF(A24&gt;DATE(YEAR(A24),3,20),IF(A24&lt;DATE(YEAR(A24),12,21),22 / 24,20 / 24),20 /24))</f>
        <v>0.91666666666666663</v>
      </c>
      <c r="B25" s="5" t="str">
        <f>IF(A24&lt;&gt;"",IF(A23="DIMANCHE",IF(E23 &gt; 0/24, "(majoration dimanche)", ""),""),"")</f>
        <v/>
      </c>
      <c r="C25" s="80">
        <f>IF(C23 = C24, (MOD(D24-D23,1)),0)</f>
        <v>0</v>
      </c>
      <c r="D25" s="81">
        <f>IF(C23=0 / 24,0,IF((MOD(C23-D23,1))&lt;6 / 24,0,0.5 / 24))</f>
        <v>0</v>
      </c>
      <c r="E25" s="19">
        <f>IF(C25&gt;=(6 / 24),0.5 / 24,(IF(C24 = C23, IF(MOD(D24-D23, 1) &lt;6/24, 0, 0.5/24), IF((MOD(D24-C24,1))&lt;6/24,0,0.5/24))))</f>
        <v>0</v>
      </c>
      <c r="F25" s="5" t="str">
        <f>IF(F24=" "," ","(minoration repas nuit)")</f>
        <v xml:space="preserve"> </v>
      </c>
      <c r="G25" s="19">
        <f>SUM(H25+H22+H19+H16+H13+H10+H7)</f>
        <v>0</v>
      </c>
      <c r="H25" s="21">
        <f>IF(E23&lt;=10/24,0/24,E23-10/24)</f>
        <v>0</v>
      </c>
    </row>
    <row r="26" spans="1:8" ht="16.95" customHeight="1" thickBot="1">
      <c r="A26" s="117"/>
      <c r="B26" s="129" t="str">
        <f>IF(H27 &gt;=6, "(maj 100% 6ème jour+recup.)", "")</f>
        <v/>
      </c>
      <c r="C26" s="106"/>
      <c r="D26" s="107" t="s">
        <v>18</v>
      </c>
      <c r="E26" s="108">
        <f>SUM(E5,E8,E11,E14,E17,E20,E23)</f>
        <v>0</v>
      </c>
      <c r="F26" s="108">
        <f>SUM(F5,F6,F8,F9,F11,F12,F14,F15,F17,F18,F20,F21,F23,F24)</f>
        <v>0</v>
      </c>
      <c r="G26" s="109">
        <f>SUM(G5,G8,G11,G14,G17,G20,G23)</f>
        <v>0</v>
      </c>
      <c r="H26" s="110">
        <f>SUM(H24,H23,H21,H20,H18,H17,H15,H14,H12,H11,H9,H8,H6,H5)</f>
        <v>0</v>
      </c>
    </row>
    <row r="27" spans="1:8" ht="16.95" customHeight="1" thickBot="1">
      <c r="A27" s="118">
        <f>IF(OR(D5=0, D5=""), IF(OR(D6=0, D6=""),  0, 36 / 60), 36/ 60)</f>
        <v>0</v>
      </c>
      <c r="B27" s="119">
        <f>IF(OR(D8=0, D8=""), IF(OR(D9=0, D9=""),  0, 36/60), 36/60)</f>
        <v>0</v>
      </c>
      <c r="C27" s="87">
        <f>IF(OR(D11=0, D11=""), IF(OR(D12=0, D12=""),  0, 36/60), 36/60)</f>
        <v>0</v>
      </c>
      <c r="D27" s="87">
        <f>IF(OR(D14=0, D14=""), IF(OR(D15=0, D15=""),  0, 36/ 60), 36/60)</f>
        <v>0</v>
      </c>
      <c r="E27" s="87">
        <f>IF(OR(D17=0, D17=""), IF(OR(D18=0, D18=""),  0, 36/ 60), 36/60)</f>
        <v>0</v>
      </c>
      <c r="F27" s="87">
        <f>IF(OR(D20=0, D20=""), IF(OR(D21=0, D21=""),  0, 36/60), 36/60)</f>
        <v>0</v>
      </c>
      <c r="G27" s="138">
        <f>IF(OR(D23=0, D23=""), IF(OR(D24=0, D24=""),  0, 36/60), 36/60)</f>
        <v>0</v>
      </c>
      <c r="H27" s="195">
        <f>IF(A27 &gt; 0, 1, 0) + IF(B27 &gt; 0, 1, 0) + IF(C27 &gt; 0, 1, 0) + IF(D27 &gt; 0, 1, 0) + IF(E27 &gt; 0, 1, 0) + IF(F27 &gt; 0, 1, 0) + IF(G27 &gt; 0, 1, 0)</f>
        <v>0</v>
      </c>
    </row>
    <row r="28" spans="1:8" ht="16.95" customHeight="1">
      <c r="A28" s="26"/>
      <c r="B28" s="92">
        <f>IF(F6 &lt;&gt; " ", IF(F5&gt;8 / 24,F6+F5-8 / 24,0 /24),  IF(F5&gt;8 / 24,F5-8 / 24,0 /24))</f>
        <v>0</v>
      </c>
      <c r="C28" s="25"/>
      <c r="D28" s="27" t="s">
        <v>5</v>
      </c>
      <c r="E28" s="28"/>
      <c r="F28" s="29" t="s">
        <v>30</v>
      </c>
      <c r="G28" s="29"/>
      <c r="H28" s="97"/>
    </row>
    <row r="29" spans="1:8" s="3" customFormat="1" ht="16.95" customHeight="1">
      <c r="A29" s="26"/>
      <c r="B29" s="92">
        <f>IF(F9 &lt;&gt; " ", IF(F8&gt;8 / 24,F9+F8-8 / 24,0 /24), IF(F8&gt;8 / 24,F8-8 / 24,0 /24) )</f>
        <v>0</v>
      </c>
      <c r="C29" s="25"/>
      <c r="D29" s="30" t="s">
        <v>1</v>
      </c>
      <c r="E29" s="31"/>
      <c r="F29" s="206">
        <v>936.57623999999998</v>
      </c>
      <c r="G29" s="32"/>
      <c r="H29" s="98"/>
    </row>
    <row r="30" spans="1:8" s="3" customFormat="1" ht="16.95" customHeight="1" thickBot="1">
      <c r="A30" s="26"/>
      <c r="B30" s="92">
        <f>IF(F12 &lt;&gt; " ", IF(F11&gt;8 / 24,F12+F11-8 / 24,0 /24),IF(F11&gt;8 / 24,F11-8 / 24,0 /24))</f>
        <v>0</v>
      </c>
      <c r="C30" s="25"/>
      <c r="D30" s="33" t="s">
        <v>4</v>
      </c>
      <c r="E30" s="34"/>
      <c r="F30" s="207">
        <f>+F29/35</f>
        <v>26.759321142857143</v>
      </c>
      <c r="G30" s="140">
        <f>+G29/35</f>
        <v>0</v>
      </c>
      <c r="H30" s="141">
        <f>+H29/35</f>
        <v>0</v>
      </c>
    </row>
    <row r="31" spans="1:8" s="3" customFormat="1" ht="16.95" customHeight="1">
      <c r="A31" s="127">
        <f>IF(E34+E42&gt;=0,-E42,-E42-(-E42-E34))</f>
        <v>0</v>
      </c>
      <c r="B31" s="92">
        <f>IF(F15 &lt;&gt; " ", IF(F14&gt;8 / 24,F15+F14-8 / 24,0 /24), IF(F14&gt;8 / 24,F14-8 / 24,0 /24))</f>
        <v>0</v>
      </c>
      <c r="C31" s="36"/>
      <c r="D31" s="37" t="s">
        <v>0</v>
      </c>
      <c r="E31" s="38">
        <f>IF(E26&gt;35 / 24,35 / 24,E26)</f>
        <v>0</v>
      </c>
      <c r="F31" s="39">
        <f>(F30*E31)*24</f>
        <v>0</v>
      </c>
      <c r="G31" s="142">
        <f>(G30*E31)*24</f>
        <v>0</v>
      </c>
      <c r="H31" s="143">
        <f>(H30*E31)*24</f>
        <v>0</v>
      </c>
    </row>
    <row r="32" spans="1:8" s="3" customFormat="1" ht="16.95" customHeight="1">
      <c r="A32" s="128">
        <f>IF(A31 &lt;&gt; -E42, IF(E33 &gt; (-E42-E34), -E42-A31, -E42-(-E42-E34-E33)), 0)</f>
        <v>0</v>
      </c>
      <c r="B32" s="92">
        <f>IF(F18 &lt;&gt; " ", IF(F17&gt;8 / 24,F18+F17-8 / 24,0 /24), IF(F17&gt;8 / 24,F17-8 / 24,0 /24))</f>
        <v>0</v>
      </c>
      <c r="C32" s="40" t="s">
        <v>20</v>
      </c>
      <c r="D32" s="41" t="s">
        <v>6</v>
      </c>
      <c r="E32" s="42">
        <f>IF(E26&gt;35 / 24,IF(E26&lt;43 / 24,E26-35 / 24,8 / 24),0 / 24)</f>
        <v>0</v>
      </c>
      <c r="F32" s="43">
        <f>((F30*E32)*24)*1.25</f>
        <v>0</v>
      </c>
      <c r="G32" s="144">
        <f>((G30*E32)*24)*1.25</f>
        <v>0</v>
      </c>
      <c r="H32" s="145">
        <f>((H30*E32)*24)*1.25</f>
        <v>0</v>
      </c>
    </row>
    <row r="33" spans="1:8" s="3" customFormat="1" ht="16.95" customHeight="1">
      <c r="A33" s="127">
        <f>IF(A31+A32&lt;&gt;-E42,IF(E32&gt;(-E42-E34-E33),-E42-A32, -E42-(-E42-E34-E33-E32)),0)</f>
        <v>0</v>
      </c>
      <c r="B33" s="92">
        <f>IF(F21 &lt;&gt; " ", IF(F20&gt;8 / 24,F21+F20-8 / 24,0 /24), IF(F20&gt;8 / 24,F20-8 / 24,0 /24))</f>
        <v>0</v>
      </c>
      <c r="C33" s="44" t="s">
        <v>23</v>
      </c>
      <c r="D33" s="45" t="s">
        <v>7</v>
      </c>
      <c r="E33" s="46">
        <f>IF(E26&gt;48 / 24,5 / 24,IF(E26&gt;43 / 24,E26-43 / 24,0 / 24))</f>
        <v>0</v>
      </c>
      <c r="F33" s="47">
        <f>((F30*E33)*24)*1.5</f>
        <v>0</v>
      </c>
      <c r="G33" s="146">
        <f>((G30*E33)*24)*1.5</f>
        <v>0</v>
      </c>
      <c r="H33" s="147">
        <f>((H30*E33)*24)*1.5</f>
        <v>0</v>
      </c>
    </row>
    <row r="34" spans="1:8" s="3" customFormat="1" ht="16.95" customHeight="1">
      <c r="A34" s="128">
        <f>IF(A31+A32+A33 &lt;&gt; -E42, IF(E31&gt;(-E42-E34-E33 - E32),-E42-A33, -E42-(-E42-E34-E33-E32-E31)), 0)</f>
        <v>0</v>
      </c>
      <c r="B34" s="92">
        <f>IF(F24 &lt;&gt; " ", IF(F23&gt;8 / 24,F24+F23-8 / 24,0 /24), IF(F23&gt;8 / 24,F23-8 / 24,0 /24))</f>
        <v>0</v>
      </c>
      <c r="C34" s="40" t="s">
        <v>24</v>
      </c>
      <c r="D34" s="41" t="s">
        <v>21</v>
      </c>
      <c r="E34" s="42">
        <f>IF(E26&gt;48 / 24,E26- 48 / 24,0 /24)</f>
        <v>0</v>
      </c>
      <c r="F34" s="43">
        <f>((F30*E34)*24)*1.75</f>
        <v>0</v>
      </c>
      <c r="G34" s="144">
        <f>((G30*E34)*24)*1.75</f>
        <v>0</v>
      </c>
      <c r="H34" s="145">
        <f>((H30*E34)*24)*1.75</f>
        <v>0</v>
      </c>
    </row>
    <row r="35" spans="1:8" s="3" customFormat="1" ht="16.95" customHeight="1">
      <c r="A35" s="104"/>
      <c r="B35" s="84"/>
      <c r="C35" s="48"/>
      <c r="D35" s="49" t="s">
        <v>22</v>
      </c>
      <c r="E35" s="50">
        <f>G25</f>
        <v>0</v>
      </c>
      <c r="F35" s="51">
        <f>(F30*E35)*24</f>
        <v>0</v>
      </c>
      <c r="G35" s="148">
        <f>(G30*E35)*24</f>
        <v>0</v>
      </c>
      <c r="H35" s="149">
        <f>(H30*E35)*24</f>
        <v>0</v>
      </c>
    </row>
    <row r="36" spans="1:8" s="3" customFormat="1" ht="16.95" customHeight="1" thickBot="1">
      <c r="A36" s="35"/>
      <c r="B36" s="52" t="str">
        <f>IF(Deb &lt; 0.9, "(Studio Agréé 21h à 6h)", "Studio de 22h à 6h")</f>
        <v>Studio de 22h à 6h</v>
      </c>
      <c r="C36" s="53"/>
      <c r="D36" s="54" t="s">
        <v>26</v>
      </c>
      <c r="E36" s="55">
        <f>F26</f>
        <v>0</v>
      </c>
      <c r="F36" s="56">
        <f>((F30*(SUM(F26,B28,B29,B30,B31,B32,B33,B34)))*24)*0.5</f>
        <v>0</v>
      </c>
      <c r="G36" s="150">
        <f>((G30*E36)*24)*0.5</f>
        <v>0</v>
      </c>
      <c r="H36" s="151">
        <f>((H30*E36)*24)*0.5</f>
        <v>0</v>
      </c>
    </row>
    <row r="37" spans="1:8" s="3" customFormat="1" ht="16.95" customHeight="1">
      <c r="A37" s="35"/>
      <c r="B37" s="57" t="s">
        <v>9</v>
      </c>
      <c r="C37" s="58"/>
      <c r="D37" s="59" t="s">
        <v>28</v>
      </c>
      <c r="E37" s="60">
        <f>G26</f>
        <v>0</v>
      </c>
      <c r="F37" s="61">
        <f>(F30*E37)*24</f>
        <v>0</v>
      </c>
      <c r="G37" s="152">
        <f>(G30*E37)*24</f>
        <v>0</v>
      </c>
      <c r="H37" s="153">
        <f>(H30*E37)*24</f>
        <v>0</v>
      </c>
    </row>
    <row r="38" spans="1:8" ht="16.95" customHeight="1">
      <c r="A38" s="35"/>
      <c r="B38" s="62">
        <f>IF(D2&gt;DATE(YEAR(D2),3,31),IF(D2&lt;DATE(YEAR(D2),10,1),22 / 24,20 / 24),20 /24)</f>
        <v>0.91666666666666663</v>
      </c>
      <c r="C38" s="94"/>
      <c r="D38" s="54" t="s">
        <v>25</v>
      </c>
      <c r="E38" s="55">
        <f>H26</f>
        <v>0</v>
      </c>
      <c r="F38" s="56">
        <f>(F30*E38)*24</f>
        <v>0</v>
      </c>
      <c r="G38" s="150">
        <f>(G30*E38)*24</f>
        <v>0</v>
      </c>
      <c r="H38" s="151">
        <f>(G30*E38)*24</f>
        <v>0</v>
      </c>
    </row>
    <row r="39" spans="1:8" ht="15.6">
      <c r="A39" s="63"/>
      <c r="B39" s="64" t="s">
        <v>8</v>
      </c>
      <c r="C39" s="111"/>
      <c r="D39" s="59" t="s">
        <v>60</v>
      </c>
      <c r="E39" s="60">
        <f>SUM(E6,E9,E12,E15,E18,E21,E24)</f>
        <v>0</v>
      </c>
      <c r="F39" s="61">
        <f>(F30*E39)*24</f>
        <v>0</v>
      </c>
      <c r="G39" s="152">
        <f>(G30*E39)*24</f>
        <v>0</v>
      </c>
      <c r="H39" s="153">
        <f>(H30*E39)*24</f>
        <v>0</v>
      </c>
    </row>
    <row r="40" spans="1:8" ht="16.2" thickBot="1">
      <c r="A40" s="63" t="s">
        <v>15</v>
      </c>
      <c r="B40" s="65">
        <v>0.25</v>
      </c>
      <c r="C40" s="53"/>
      <c r="D40" s="54" t="s">
        <v>3</v>
      </c>
      <c r="E40" s="55">
        <v>0</v>
      </c>
      <c r="F40" s="56">
        <f>(F30*E40)*24</f>
        <v>0</v>
      </c>
      <c r="G40" s="150">
        <f>(G30*E40)*24</f>
        <v>0</v>
      </c>
      <c r="H40" s="151">
        <f>(H30*E40)*24</f>
        <v>0</v>
      </c>
    </row>
    <row r="41" spans="1:8" ht="15.6">
      <c r="A41" s="63" t="s">
        <v>54</v>
      </c>
      <c r="B41" s="90"/>
      <c r="C41" s="112"/>
      <c r="D41" s="59" t="s">
        <v>35</v>
      </c>
      <c r="E41" s="122">
        <f>IF(B7&lt;&gt;"",E5,IF(B10&lt;&gt;"",E8,IF(B13&lt;&gt;"",E11,IF(B16&lt;&gt;"",E14,IF(B19&lt;&gt;"",E17,IF(B22&lt;&gt;"",E20, IF(B25&lt;&gt;"",E23, 0)))))))</f>
        <v>0</v>
      </c>
      <c r="F41" s="113">
        <f>(F30*E41)*24</f>
        <v>0</v>
      </c>
      <c r="G41" s="154">
        <v>0</v>
      </c>
      <c r="H41" s="155">
        <v>0</v>
      </c>
    </row>
    <row r="42" spans="1:8" ht="16.2" thickBot="1">
      <c r="A42" s="86" t="s">
        <v>32</v>
      </c>
      <c r="B42" s="90"/>
      <c r="C42" s="114"/>
      <c r="D42" s="115" t="s">
        <v>31</v>
      </c>
      <c r="E42" s="123">
        <f>-IF(H27 &gt; 5, 4/24, (SUM(A27,B27,C27,D27,E27,F27,G27)/24))</f>
        <v>0</v>
      </c>
      <c r="F42" s="116">
        <f>-((A31*F30*24*1.75)+(A32*F30*24*1.5)+(A33*F30*24*1.25)+(A34*F30*24))</f>
        <v>0</v>
      </c>
      <c r="G42" s="156">
        <f>(G30*E42)*24</f>
        <v>0</v>
      </c>
      <c r="H42" s="157">
        <f>(H30*E42)*24</f>
        <v>0</v>
      </c>
    </row>
    <row r="43" spans="1:8" ht="16.2" thickBot="1">
      <c r="A43" s="91"/>
      <c r="B43" s="89"/>
      <c r="C43" s="120"/>
      <c r="D43" s="95" t="s">
        <v>19</v>
      </c>
      <c r="E43" s="96">
        <f>IF(E42 &lt; -3/24, IF(E26&lt;(56/24), 52/24, SUM(E26,E42)),  IF(E42=-3/24, (IF(E26&lt;(46/24), 43/24,SUM(E26,E42))),SUM(E26,E42)))</f>
        <v>0</v>
      </c>
      <c r="F43" s="208">
        <f>IF(E42=-3/24,IF(SUM(F31:F42)&lt;1486.76,1486.76,SUM(F31:F42)),IF(E42&lt;-3/24,IF(SUM(F31:F42)&lt;1965.82,1965.82,SUM(F31:F42)),SUM(F31:F42)))</f>
        <v>0</v>
      </c>
      <c r="G43" s="158">
        <f>SUM(G31:G42)</f>
        <v>0</v>
      </c>
      <c r="H43" s="159">
        <f>SUM(H31:H42)</f>
        <v>0</v>
      </c>
    </row>
  </sheetData>
  <sheetProtection sheet="1" selectLockedCells="1"/>
  <phoneticPr fontId="1"/>
  <printOptions horizontalCentered="1"/>
  <pageMargins left="0" right="0" top="0.15748031496062992" bottom="0.15748031496062992" header="0.11811023622047244" footer="0.11811023622047244"/>
  <pageSetup paperSize="9" scale="74" orientation="landscape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65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3"/>
  <sheetViews>
    <sheetView tabSelected="1" zoomScale="75" zoomScaleNormal="75" workbookViewId="0">
      <selection activeCell="F2" sqref="F2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8" ht="24" customHeight="1">
      <c r="A1" s="66" t="s">
        <v>13</v>
      </c>
      <c r="B1" s="100" t="str">
        <f>'1er Ass'!B1</f>
        <v>"Production"</v>
      </c>
      <c r="C1" s="99"/>
      <c r="D1" s="67" t="str">
        <f>'1er Ass'!D1</f>
        <v>Semaine N°</v>
      </c>
      <c r="E1" s="7" t="s">
        <v>11</v>
      </c>
      <c r="F1" s="23" t="str">
        <f>'1er Ass'!F1</f>
        <v>Caméra</v>
      </c>
      <c r="G1" s="100"/>
      <c r="H1" s="68"/>
    </row>
    <row r="2" spans="1:8" ht="19.95" customHeight="1">
      <c r="A2" s="69" t="s">
        <v>14</v>
      </c>
      <c r="B2" s="101" t="str">
        <f>'1er Ass'!B2</f>
        <v>"Film"</v>
      </c>
      <c r="C2" s="71" t="s">
        <v>58</v>
      </c>
      <c r="D2" s="93">
        <f>'1er Ass'!D2</f>
        <v>43984</v>
      </c>
      <c r="E2" s="71" t="s">
        <v>12</v>
      </c>
      <c r="F2" s="24" t="s">
        <v>39</v>
      </c>
      <c r="G2" s="101"/>
      <c r="H2" s="72"/>
    </row>
    <row r="3" spans="1:8" ht="19.95" customHeight="1" thickBot="1">
      <c r="A3" s="69"/>
      <c r="B3" s="101"/>
      <c r="C3" s="71" t="s">
        <v>59</v>
      </c>
      <c r="D3" s="194">
        <f>D2+DAY(5)</f>
        <v>43990</v>
      </c>
      <c r="E3" s="8"/>
      <c r="F3" s="102"/>
      <c r="G3" s="102"/>
      <c r="H3" s="73"/>
    </row>
    <row r="4" spans="1:8" ht="49.95" customHeight="1">
      <c r="A4" s="14" t="s">
        <v>2</v>
      </c>
      <c r="B4" s="6" t="s">
        <v>34</v>
      </c>
      <c r="C4" s="6" t="s">
        <v>55</v>
      </c>
      <c r="D4" s="6" t="s">
        <v>16</v>
      </c>
      <c r="E4" s="6" t="s">
        <v>61</v>
      </c>
      <c r="F4" s="6" t="s">
        <v>10</v>
      </c>
      <c r="G4" s="15" t="s">
        <v>17</v>
      </c>
      <c r="H4" s="16" t="s">
        <v>27</v>
      </c>
    </row>
    <row r="5" spans="1:8" s="3" customFormat="1" ht="22.95" customHeight="1">
      <c r="A5" s="74" t="str">
        <f>CHOOSE(WEEKDAY(A6,2),"LUNDI","MARDI","MERCREDI","JEUDI","VENDREDI","SAMEDI","DIMANCHE")</f>
        <v>LUNDI</v>
      </c>
      <c r="B5" s="9" t="str">
        <f>IF(OR(C5&lt;&gt;0, C6 &lt;&gt;0), IF(MOD(C6-C5, 1) &lt; 0.041, "(pause réduite)", ""), "")</f>
        <v/>
      </c>
      <c r="C5" s="103">
        <f>'1er Ass'!C5</f>
        <v>0</v>
      </c>
      <c r="D5" s="75">
        <f>'1er Ass'!D5</f>
        <v>0</v>
      </c>
      <c r="E5" s="9">
        <f>IF(D5= "",0/24,((MOD(D6-D5,1))-MOD(C6-C5,1)))</f>
        <v>0</v>
      </c>
      <c r="F5" s="9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9">
        <v>0</v>
      </c>
      <c r="H5" s="105">
        <v>0</v>
      </c>
    </row>
    <row r="6" spans="1:8" ht="16.95" customHeight="1">
      <c r="A6" s="76">
        <f>D2</f>
        <v>43984</v>
      </c>
      <c r="B6" s="77" t="str">
        <f>IF(E6=0 / 24, "","(journée continue)")</f>
        <v/>
      </c>
      <c r="C6" s="103">
        <f>'1er Ass'!C6</f>
        <v>0</v>
      </c>
      <c r="D6" s="75">
        <f>'1er Ass'!D6</f>
        <v>0</v>
      </c>
      <c r="E6" s="121">
        <f>SUM(D7,E7)</f>
        <v>0</v>
      </c>
      <c r="F6" s="9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17"/>
      <c r="H6" s="18"/>
    </row>
    <row r="7" spans="1:8" ht="16.95" customHeight="1">
      <c r="A7" s="78">
        <f>IF(A6 = "", Deb, IF(A6&gt;DATE(YEAR(A6),3,31),IF(A6&lt;DATE(YEAR(A6),10,1),22/24,20/24),20/24))</f>
        <v>0.91666666666666663</v>
      </c>
      <c r="B7" s="79" t="str">
        <f>IF(A6 &lt;&gt; "", IF(A5="DIMANCHE", "(majoration dimanche)", ""), "")</f>
        <v/>
      </c>
      <c r="C7" s="80">
        <f>IF(C6 = C5, (MOD(D6-D5,1)),0)</f>
        <v>0</v>
      </c>
      <c r="D7" s="81">
        <f>IF(C5=0 / 24,0,IF((MOD(C5-D5,1))&lt;6 / 24,0,0.5 / 24))</f>
        <v>0</v>
      </c>
      <c r="E7" s="19">
        <f>IF(C7&gt;=(6/24),0.5 / 24,(IF(C5 = C6, IF(MOD(D6-D5, 1) &lt;6/24, 0, 0.5/24), IF((MOD(D6-C6,1))&lt;6/24,0,0.5/24))))</f>
        <v>0</v>
      </c>
      <c r="F7" s="5" t="str">
        <f>IF(OR(F6=" ", F6=0)," ","(minoration repas nuit)")</f>
        <v xml:space="preserve"> </v>
      </c>
      <c r="G7" s="20"/>
      <c r="H7" s="21">
        <f>IF(E5&lt;=10/24,0/24,E5-10/24)</f>
        <v>0</v>
      </c>
    </row>
    <row r="8" spans="1:8" ht="16.95" customHeight="1">
      <c r="A8" s="74" t="str">
        <f>CHOOSE(WEEKDAY(A6+1,2),"LUNDI","MARDI","MERCREDI","JEUDI","VENDREDI","SAMEDI","DIMANCHE")</f>
        <v>MARDI</v>
      </c>
      <c r="B8" s="82" t="str">
        <f>IF(OR(C8&lt;&gt;0, C9 &lt;&gt;0), IF(MOD(C9-C8, 1) &lt; 0.041, "(pause réduite)", ""), "")</f>
        <v/>
      </c>
      <c r="C8" s="103">
        <f>'1er Ass'!C8</f>
        <v>0</v>
      </c>
      <c r="D8" s="75">
        <f>'1er Ass'!D8</f>
        <v>0</v>
      </c>
      <c r="E8" s="9">
        <f>IF(D8= "",0/24,((MOD(D9-D8,1))-MOD(C9-C8,1)))</f>
        <v>0</v>
      </c>
      <c r="F8" s="9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9">
        <f>IF(AND(D5=0, D6=0), 0/24, (IF(D8=0/24,0/24,IF((MOD(D8-D6,1))&gt;=11/24,0/24,11/24-(MOD(D8-D6,1))))))</f>
        <v>0</v>
      </c>
      <c r="H8" s="105">
        <v>0</v>
      </c>
    </row>
    <row r="9" spans="1:8" ht="16.95" customHeight="1">
      <c r="A9" s="76">
        <f>IF(AND(DATE(YEAR(D2),MONTH(D2),DAY(D2))&lt;DATE(YEAR(D3),MONTH(D3),DAY(D3)), A6&lt;&gt;""),DATE(YEAR(D2),MONTH(D2),DAY(D2)+1),"")</f>
        <v>43985</v>
      </c>
      <c r="B9" s="4" t="str">
        <f>IF(E9=0 / 24, "","(journée continue)")</f>
        <v/>
      </c>
      <c r="C9" s="103">
        <f>'1er Ass'!C9</f>
        <v>0</v>
      </c>
      <c r="D9" s="75">
        <f>'1er Ass'!D9</f>
        <v>0</v>
      </c>
      <c r="E9" s="121">
        <f>SUM(D10,E10)</f>
        <v>0</v>
      </c>
      <c r="F9" s="9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17"/>
      <c r="H9" s="18"/>
    </row>
    <row r="10" spans="1:8" ht="16.95" customHeight="1">
      <c r="A10" s="78">
        <f>IF(A9 = "", Deb, IF(A9&gt;DATE(YEAR(A9),3,31),IF(A9&lt;DATE(YEAR(A9),10,1),22/24,20/24),20/24))</f>
        <v>0.91666666666666663</v>
      </c>
      <c r="B10" s="79" t="str">
        <f>IF(A9 &lt;&gt; "", IF(A8="DIMANCHE", "(majoration dimanche)", ""), "")</f>
        <v/>
      </c>
      <c r="C10" s="80">
        <f>IF(C9 = C8, (MOD(D9-D8,1)),0)</f>
        <v>0</v>
      </c>
      <c r="D10" s="81">
        <f>IF(C8=0 / 24,0,IF((MOD(C8-D8,1))&lt;6 / 24,0,0.5 / 24))</f>
        <v>0</v>
      </c>
      <c r="E10" s="80">
        <f>IF(C10&gt;=(6/24),0.5 / 24,(IF(C8 = C9, IF(MOD(D9-D8, 1) &lt;6/24, 0, 0.5/24), IF((MOD(D9-C9,1))&lt;6/24,0,0.5/24))))</f>
        <v>0</v>
      </c>
      <c r="F10" s="5" t="str">
        <f>IF(F9=" "," ","(minoration repas nuit)")</f>
        <v xml:space="preserve"> </v>
      </c>
      <c r="G10" s="20"/>
      <c r="H10" s="209">
        <f>IF(E8&lt;=10/24,0/24,E8-10/24)</f>
        <v>0</v>
      </c>
    </row>
    <row r="11" spans="1:8" ht="16.95" customHeight="1">
      <c r="A11" s="74" t="str">
        <f>CHOOSE(WEEKDAY(A6+2,2),"LUNDI","MARDI","MERCREDI","JEUDI","VENDREDI","SAMEDI","DIMANCHE")</f>
        <v>MERCREDI</v>
      </c>
      <c r="B11" s="82" t="str">
        <f>IF(OR(C11&lt;&gt;0, C12 &lt;&gt;0), IF(MOD(C12-C11, 1) &lt; 0.041, "(pause réduite)", ""), "")</f>
        <v/>
      </c>
      <c r="C11" s="103">
        <f>'1er Ass'!C11</f>
        <v>0</v>
      </c>
      <c r="D11" s="75">
        <f>'1er Ass'!D11</f>
        <v>0</v>
      </c>
      <c r="E11" s="9">
        <f>IF(D11= "",0/24,((MOD(D12-D11,1))-MOD(C12-C11,1)))</f>
        <v>0</v>
      </c>
      <c r="F11" s="9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5">
        <f>IF(AND(D8=0, D9=0), 0/24, (IF(D11=0/24,0/24,IF((MOD(D11-D9,1))&gt;=11/24,0/24,11/24-(MOD(D11-D9,1))))))</f>
        <v>0</v>
      </c>
      <c r="H11" s="105">
        <v>0</v>
      </c>
    </row>
    <row r="12" spans="1:8" ht="16.95" customHeight="1">
      <c r="A12" s="76">
        <f>IF(AND(DATE(YEAR(A9),MONTH(A9),DAY(A9))&lt;DATE(YEAR(D3),MONTH(D3),DAY(D3)), A9&lt;&gt;""),DATE(YEAR(D2),MONTH(D2),DAY(D2)+2), "")</f>
        <v>43986</v>
      </c>
      <c r="B12" s="4" t="str">
        <f>IF(E12=0 / 24, "","(journée continue)")</f>
        <v/>
      </c>
      <c r="C12" s="103">
        <f>'1er Ass'!C12</f>
        <v>0</v>
      </c>
      <c r="D12" s="83">
        <f>'1er Ass'!D12</f>
        <v>0</v>
      </c>
      <c r="E12" s="121">
        <f>SUM(D13,E13)</f>
        <v>0</v>
      </c>
      <c r="F12" s="9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"/>
      <c r="H12" s="18"/>
    </row>
    <row r="13" spans="1:8" ht="16.95" customHeight="1">
      <c r="A13" s="78">
        <f>IF(A12 = "", Deb, IF(A12&gt;DATE(YEAR(A12),3,31),IF(A12&lt;DATE(YEAR(A12),10,1),22/24,20/24),20/24))</f>
        <v>0.91666666666666663</v>
      </c>
      <c r="B13" s="5" t="str">
        <f>IF(A12 &lt;&gt; "", IF(A11="DIMANCHE", "(majoration dimanche)", ""), "")</f>
        <v/>
      </c>
      <c r="C13" s="80">
        <f>IF(C12 = C11, (MOD(D12-D11,1)),0)</f>
        <v>0</v>
      </c>
      <c r="D13" s="81">
        <f>IF(C11=0 / 24,0,IF((MOD(C11-D11,1))&lt;6 / 24,0,0.5 / 24))</f>
        <v>0</v>
      </c>
      <c r="E13" s="19">
        <f>IF(C13&gt;=(6/24),0.5 / 24,(IF(C11 = C12, IF(MOD(D12-D11, 1) &lt;6/24, 0, 0.5/24), IF((MOD(D12-C12,1))&lt;6/24,0,0.5/24))))</f>
        <v>0</v>
      </c>
      <c r="F13" s="5" t="str">
        <f>IF(F12=" "," ","(minoration repas nuit)")</f>
        <v xml:space="preserve"> </v>
      </c>
      <c r="G13" s="20"/>
      <c r="H13" s="21">
        <f>IF(E11&lt;=10/24,0/24,E11-10/24)</f>
        <v>0</v>
      </c>
    </row>
    <row r="14" spans="1:8" ht="16.95" customHeight="1">
      <c r="A14" s="74" t="str">
        <f>CHOOSE(WEEKDAY(A6+3,2),"LUNDI","MARDI","MERCREDI","JEUDI","VENDREDI","SAMEDI","DIMANCHE")</f>
        <v>JEUDI</v>
      </c>
      <c r="B14" s="82" t="str">
        <f>IF(OR(C14&lt;&gt;0, C15 &lt;&gt;0), IF(MOD(C15-C14, 1) &lt; 0.041, "(pause réduite)", ""), "")</f>
        <v/>
      </c>
      <c r="C14" s="103">
        <f>'1er Ass'!C14</f>
        <v>0</v>
      </c>
      <c r="D14" s="75">
        <f>'1er Ass'!D14</f>
        <v>0</v>
      </c>
      <c r="E14" s="9">
        <f>IF(D14= "",0/24,((MOD(D15-D14,1))-MOD(C15-C14,1)))</f>
        <v>0</v>
      </c>
      <c r="F14" s="9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9">
        <f>IF(AND(D11=0, D12=0), 0/24, (IF(D14=0/24,0/24,IF((MOD(D14-D12,1))&gt;= 11/24, 0/24, (11/24- (MOD(D14-D12,1)))))))</f>
        <v>0</v>
      </c>
      <c r="H14" s="105">
        <v>0</v>
      </c>
    </row>
    <row r="15" spans="1:8" ht="16.95" customHeight="1">
      <c r="A15" s="76">
        <f>IF(A12&lt;&gt; "", (IF(DATE(YEAR(A12),MONTH(A12),DAY(A12))&lt;DATE(YEAR(D3),MONTH(D3),DAY(D3)),DATE(YEAR(D2),MONTH(D2),(DAY(D2)+3)), "")), "")</f>
        <v>43987</v>
      </c>
      <c r="B15" s="4" t="str">
        <f>IF(E15=0 / 24, "","(journée continue)")</f>
        <v/>
      </c>
      <c r="C15" s="103">
        <f>'1er Ass'!C15</f>
        <v>0</v>
      </c>
      <c r="D15" s="75">
        <f>'1er Ass'!D15</f>
        <v>0</v>
      </c>
      <c r="E15" s="121">
        <f>SUM(D16,E16)</f>
        <v>0</v>
      </c>
      <c r="F15" s="9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17"/>
      <c r="H15" s="18"/>
    </row>
    <row r="16" spans="1:8" ht="16.95" customHeight="1">
      <c r="A16" s="78">
        <f>IF(A15 = "", Deb, IF(A15&gt;DATE(YEAR(A15),3,31),IF(A15&lt;DATE(YEAR(A15),10,1),22/24,20/24),20/24))</f>
        <v>0.91666666666666663</v>
      </c>
      <c r="B16" s="5" t="str">
        <f>IF(A15 &lt;&gt; "", IF(A14="DIMANCHE", "(majoration dimanche)", ""), "")</f>
        <v/>
      </c>
      <c r="C16" s="80">
        <f>IF(C14 = C15, (MOD(D15-D14,1)),0)</f>
        <v>0</v>
      </c>
      <c r="D16" s="81">
        <f>IF(C14=0 / 24,0,IF((MOD(C14-D14,1))&lt;6 / 24,0,0.5 / 24))</f>
        <v>0</v>
      </c>
      <c r="E16" s="19">
        <f>IF(C16&gt;=(6/24),0.5 / 24,(IF(C15 = C14, IF(MOD(D15-D14, 1) &lt;6/24, 0, 0.5/24), IF((MOD(D15-C15,1))&lt;6/24,0,0.5/24))))</f>
        <v>0</v>
      </c>
      <c r="F16" s="5" t="str">
        <f>IF(F15=" "," ","(minoration repas nuit)")</f>
        <v xml:space="preserve"> </v>
      </c>
      <c r="G16" s="20"/>
      <c r="H16" s="21">
        <f>IF(E14&lt;=10/24,0/24,E14-10/24)</f>
        <v>0</v>
      </c>
    </row>
    <row r="17" spans="1:8" ht="16.95" customHeight="1">
      <c r="A17" s="74" t="str">
        <f>CHOOSE(WEEKDAY(A6+4,2),"LUNDI","MARDI","MERCREDI","JEUDI","VENDREDI","SAMEDI","DIMANCHE")</f>
        <v>VENDREDI</v>
      </c>
      <c r="B17" s="82" t="str">
        <f>IF(OR(C17&lt;&gt;0, C18 &lt;&gt;0), IF(MOD(C18-C17, 1) &lt; 0.041, "(pause réduite)", ""), "")</f>
        <v/>
      </c>
      <c r="C17" s="103">
        <f>'1er Ass'!C17</f>
        <v>0</v>
      </c>
      <c r="D17" s="75">
        <f>'1er Ass'!D17</f>
        <v>0</v>
      </c>
      <c r="E17" s="9">
        <f>IF(D17="",0/24,((MOD(D18-D17,1))-MOD(C18-C17,1)))</f>
        <v>0</v>
      </c>
      <c r="F17" s="9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9">
        <f>IF(AND(D14=0, D15=0), 0/24,(IF(D17=0/24,0/24,IF((MOD(D17-D15,1))&gt;= 11/24,0/24,11/24-(MOD(D17-D15,1))))))</f>
        <v>0</v>
      </c>
      <c r="H17" s="105">
        <v>0</v>
      </c>
    </row>
    <row r="18" spans="1:8" ht="16.95" customHeight="1">
      <c r="A18" s="76">
        <f>IF(A15&lt;&gt; "", (IF(DATE(YEAR(A15),MONTH(A15),DAY(A15))&lt;DATE(YEAR(D3),MONTH(D3),DAY(D3)),DATE(YEAR(D2),MONTH(D2),(DAY(D2)+4)), "")), "")</f>
        <v>43988</v>
      </c>
      <c r="B18" s="4" t="str">
        <f>IF(E18=0 / 24, "","(journée continue)")</f>
        <v/>
      </c>
      <c r="C18" s="103">
        <f>'1er Ass'!C18</f>
        <v>0</v>
      </c>
      <c r="D18" s="75">
        <f>'1er Ass'!D18</f>
        <v>0</v>
      </c>
      <c r="E18" s="121">
        <f>SUM(D19,E19)</f>
        <v>0</v>
      </c>
      <c r="F18" s="9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17"/>
      <c r="H18" s="18"/>
    </row>
    <row r="19" spans="1:8" ht="16.95" customHeight="1">
      <c r="A19" s="78">
        <f>IF(A18 = "", Deb, IF(A18&gt;DATE(YEAR(A18),3,31),IF(A18&lt;DATE(YEAR(A18),10,1),22/24,20/24),20/24))</f>
        <v>0.91666666666666663</v>
      </c>
      <c r="B19" s="5" t="str">
        <f>IF(A18 &lt;&gt; "", IF(A17="DIMANCHE", "(majoration dimanche)", ""), "")</f>
        <v/>
      </c>
      <c r="C19" s="80">
        <f>IF(C17 = C18, (MOD(D18-D17,1)),0)</f>
        <v>0</v>
      </c>
      <c r="D19" s="81">
        <f>IF(C17=0 / 24,0,IF((MOD(C17-D17,1))&lt;6 / 24,0,0.5 / 24))</f>
        <v>0</v>
      </c>
      <c r="E19" s="19">
        <f>IF(C19&gt;=(6/24),0.5 / 24,(IF(C17 = C18, IF(MOD(D18-D17, 1) &lt;6/24, 0, 0.5/24), IF((MOD(D18-C18,1))&lt;6/24,0,0.5/24))))</f>
        <v>0</v>
      </c>
      <c r="F19" s="5" t="str">
        <f>IF(F18=" "," ","(minoration repas nuit)")</f>
        <v xml:space="preserve"> </v>
      </c>
      <c r="G19" s="20"/>
      <c r="H19" s="21">
        <f>IF(E17&lt;=10/24,0/24,E17-10/24)</f>
        <v>0</v>
      </c>
    </row>
    <row r="20" spans="1:8" ht="16.95" customHeight="1">
      <c r="A20" s="74" t="str">
        <f>CHOOSE(WEEKDAY(A6+5,2),"LUNDI","MARDI","MERCREDI","JEUDI","VENDREDI","SAMEDI","DIMANCHE")</f>
        <v>SAMEDI</v>
      </c>
      <c r="B20" s="82" t="str">
        <f>IF(OR(C20&lt;&gt;0, C21 &lt;&gt;0), IF(MOD(C21-C20, 1) &lt; 0.041, "(pause réduite)", ""), "")</f>
        <v/>
      </c>
      <c r="C20" s="103">
        <f>'1er Ass'!C20</f>
        <v>0</v>
      </c>
      <c r="D20" s="75">
        <f>'1er Ass'!D20</f>
        <v>0</v>
      </c>
      <c r="E20" s="9">
        <f>IF(D20= "",0/24,((MOD(D21-D20,1))-MOD(C21-C20,1)))</f>
        <v>0</v>
      </c>
      <c r="F20" s="9">
        <f>IF(AND(D20&gt;=D21,D20&lt;=A25,D20&lt;&gt;0,D21&lt;&gt;" "),MOD(Fin-A25,1)-IF(D21&lt;=Fin,Fin-D21)+IF(D20&lt;=Fin,Fin-D20),IF(AND(D20&gt;=D21,D20&gt;A25,D20&lt;&gt;0,D21&lt;&gt;0),MOD(Fin-A25,1)-(D20-A25)+IF(D21&gt;=A25,D21-A25)-IF(D21&lt;Fin,Fin-D21),IF(AND(D20&lt;D21,ISNUMBER(D20),D21&lt;&gt;0),0+IF(AND(D20&lt;=Fin,D21&lt;=Fin),D21-D20)+IF(AND(D20&lt;=Fin,D21&gt;Fin),Fin-D20)+IF(D21&gt;=A25,D21-D20-IF(D20&lt;=A25,A25-D20)),0)))</f>
        <v>0</v>
      </c>
      <c r="G20" s="9">
        <f>IF(AND(D17=0, D18=0),0/24, (IF(D20=0/24,0/24,IF((MOD(D20-D18,1))&gt;= 11/24,0/24,11/24-(MOD(D20-D18,1))))))</f>
        <v>0</v>
      </c>
      <c r="H20" s="105">
        <v>0</v>
      </c>
    </row>
    <row r="21" spans="1:8" ht="16.95" customHeight="1">
      <c r="A21" s="76">
        <f>IF(A18&lt;&gt; "", (IF(DATE(YEAR(A18),MONTH(A18),DAY(A18))&lt;DATE(YEAR(D3),MONTH(D3),DAY(D3)),DATE(YEAR(D2),MONTH(D2),(DAY(D2)+5)), "")), "")</f>
        <v>43989</v>
      </c>
      <c r="B21" s="4" t="str">
        <f>IF(E21=0 / 24, "","(journée continue)")</f>
        <v/>
      </c>
      <c r="C21" s="103">
        <f>'1er Ass'!C21</f>
        <v>0</v>
      </c>
      <c r="D21" s="75">
        <f>'1er Ass'!D21</f>
        <v>0</v>
      </c>
      <c r="E21" s="121">
        <f>SUM(D22,E22)</f>
        <v>0</v>
      </c>
      <c r="F21" s="9" t="str">
        <f>IF(OR(C20 &lt;&gt; 0, C21 &lt;&gt; 0), IF(C20&gt;=A25,-(MOD(C21-C20,1)),IF(C21&lt;=Fin,-(MOD(C21-C20,1)),IF(C20&lt;Fin, IF(C21&gt;=Fin, -MOD(Fin-C20,1), -(MOD(C21-Fin,1))),IF(C21&gt;A25,-(MOD(C21-A25,1)), " ")))), " ")</f>
        <v xml:space="preserve"> </v>
      </c>
      <c r="G21" s="17"/>
      <c r="H21" s="22"/>
    </row>
    <row r="22" spans="1:8" ht="16.95" customHeight="1">
      <c r="A22" s="78">
        <f>IF(A21="", Deb, IF(A21&gt;DATE(YEAR(A21),3,20),IF(A21&lt;DATE(YEAR(A21),12,21),22 / 24,20 / 24),20 /24))</f>
        <v>0.91666666666666663</v>
      </c>
      <c r="B22" s="5" t="str">
        <f>IF(A21&lt;&gt;"",IF(A20="DIMANCHE","(majoration dimanche)",""), "")</f>
        <v/>
      </c>
      <c r="C22" s="80">
        <f>IF(C20 = C21, (MOD(D21-D20,1)),0)</f>
        <v>0</v>
      </c>
      <c r="D22" s="81">
        <f>IF(C20=0 / 24,0,IF((MOD(C20-D20,1))&lt;6 / 24,0,0.5 / 24))</f>
        <v>0</v>
      </c>
      <c r="E22" s="19">
        <f>IF(C22&gt;=(6 / 24),0.5 / 24,(IF(C21 = C20, IF(MOD(D21-D20, 1) &lt;6/24, 0, 0.5/24), IF((MOD(D21-C21,1))&lt;6/24,0,0.5/24))))</f>
        <v>0</v>
      </c>
      <c r="F22" s="5" t="str">
        <f>IF(F21=" "," ","(minoration repas nuit)")</f>
        <v xml:space="preserve"> </v>
      </c>
      <c r="G22" s="19"/>
      <c r="H22" s="21">
        <f>IF(E20&lt;=10/24,0/24,E20-10/24)</f>
        <v>0</v>
      </c>
    </row>
    <row r="23" spans="1:8" ht="16.95" customHeight="1">
      <c r="A23" s="74" t="str">
        <f>CHOOSE(WEEKDAY(A9+5,2),"LUNDI","MARDI","MERCREDI","JEUDI","VENDREDI","SAMEDI","DIMANCHE")</f>
        <v>DIMANCHE</v>
      </c>
      <c r="B23" s="82" t="str">
        <f>IF(OR(C24&lt;&gt;0, C25 &lt;&gt;0,), IF(MOD(C24-C23, 1) &lt; 0.041, "(pause réduite)", ""), "")</f>
        <v/>
      </c>
      <c r="C23" s="103">
        <f>'1er Ass'!C23</f>
        <v>0</v>
      </c>
      <c r="D23" s="75">
        <f>'1er Ass'!D23</f>
        <v>0</v>
      </c>
      <c r="E23" s="9">
        <f>IF(D23= " ",0/24,((MOD(D24-D23,1))-MOD(C24-C23,1)))</f>
        <v>0</v>
      </c>
      <c r="F23" s="9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9">
        <f>IF(AND(D20=0, D21=0),0/24, (IF(D23=0/24,0/24,IF((MOD(D23-D21,1))&gt;=11/24,0/24, 11/24-(MOD(D23-D21,1))))))</f>
        <v>0</v>
      </c>
      <c r="H23" s="105">
        <v>0</v>
      </c>
    </row>
    <row r="24" spans="1:8" ht="16.95" customHeight="1">
      <c r="A24" s="76">
        <f>IF(A21&lt;&gt; "", (IF(DATE(YEAR(A21),MONTH(A21),DAY(A21))&lt;DATE(YEAR(D3),MONTH(D3),DAY(D3)),DATE(YEAR(D2),MONTH(D2),(DAY(D2)+6)), "")), "")</f>
        <v>43990</v>
      </c>
      <c r="B24" s="4" t="str">
        <f>IF(E24=0 / 24, "","(journée continue)")</f>
        <v/>
      </c>
      <c r="C24" s="103">
        <f>'1er Ass'!C24</f>
        <v>0</v>
      </c>
      <c r="D24" s="75">
        <f>'1er Ass'!D24</f>
        <v>0</v>
      </c>
      <c r="E24" s="121">
        <f>SUM(D25,E25)</f>
        <v>0</v>
      </c>
      <c r="F24" s="9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137"/>
      <c r="H24" s="202"/>
    </row>
    <row r="25" spans="1:8" s="3" customFormat="1" ht="16.8" customHeight="1">
      <c r="A25" s="78">
        <f>IF(A24="", Deb, IF(A24&gt;DATE(YEAR(A24),3,20),IF(A24&lt;DATE(YEAR(A24),12,21),22 / 24,20 / 24),20 /24))</f>
        <v>0.91666666666666663</v>
      </c>
      <c r="B25" s="5" t="str">
        <f>IF(A24&lt;&gt;"",IF(A23="DIMANCHE",IF(E23 &gt; 0/24, "(majoration dimanche)", ""),""),"")</f>
        <v/>
      </c>
      <c r="C25" s="80">
        <f>IF(C23 = C24, (MOD(D24-D23,1)),0)</f>
        <v>0</v>
      </c>
      <c r="D25" s="81">
        <f>IF(C23=0 / 24,0,IF((MOD(C23-D23,1))&lt;6 / 24,0,0.5 / 24))</f>
        <v>0</v>
      </c>
      <c r="E25" s="19">
        <f>IF(C25&gt;=(6 / 24),0.5 / 24,(IF(C24 = C23, IF(MOD(D24-D23, 1) &lt;6/24, 0, 0.5/24), IF((MOD(D24-C24,1))&lt;6/24,0,0.5/24))))</f>
        <v>0</v>
      </c>
      <c r="F25" s="5" t="str">
        <f>IF(F24=" "," ","(minoration repas nuit)")</f>
        <v xml:space="preserve"> </v>
      </c>
      <c r="G25" s="19">
        <f>SUM(H25+H22+H19+H16+H13+H10+H7)</f>
        <v>0</v>
      </c>
      <c r="H25" s="21">
        <f>IF(E23&lt;=10/24,0/24,E23-10/24)</f>
        <v>0</v>
      </c>
    </row>
    <row r="26" spans="1:8" ht="16.95" customHeight="1" thickBot="1">
      <c r="A26" s="117"/>
      <c r="B26" s="129" t="str">
        <f>IF(H27 &gt;=6, "(maj 100% 6ème jour+recup.)", "")</f>
        <v/>
      </c>
      <c r="C26" s="106"/>
      <c r="D26" s="107" t="s">
        <v>18</v>
      </c>
      <c r="E26" s="108">
        <f>SUM(E5,E8,E11,E14,E17,E20,E23)</f>
        <v>0</v>
      </c>
      <c r="F26" s="108">
        <f>SUM(F5,F6,F8,F9,F11,F12,F14,F15,F17,F18,F20,F21,F23,F24)</f>
        <v>0</v>
      </c>
      <c r="G26" s="109">
        <f>SUM(G5,G8,G11,G14,G17,G20,G23)</f>
        <v>0</v>
      </c>
      <c r="H26" s="110">
        <f>SUM(H24,H23,H21,H20,H18,H17,H15,H14,H12,H11,H9,H8,H6,H5)</f>
        <v>0</v>
      </c>
    </row>
    <row r="27" spans="1:8" ht="16.95" customHeight="1" thickBot="1">
      <c r="A27" s="118">
        <f>IF(OR(D5=0, D5=""), IF(OR(D6=0, D6=""),  0, 36 / 60), 36/ 60)</f>
        <v>0</v>
      </c>
      <c r="B27" s="119">
        <f>IF(OR(D8=0, D8=""), IF(OR(D9=0, D9=""),  0, 36/60), 36/60)</f>
        <v>0</v>
      </c>
      <c r="C27" s="87">
        <f>IF(OR(D11=0, D11=""), IF(OR(D12=0, D12=""),  0, 36/60), 36/60)</f>
        <v>0</v>
      </c>
      <c r="D27" s="87">
        <f>IF(OR(D14=0, D14=""), IF(OR(D15=0, D15=""),  0, 36/ 60), 36/60)</f>
        <v>0</v>
      </c>
      <c r="E27" s="87">
        <f>IF(OR(D17=0, D17=""), IF(OR(D18=0, D18=""),  0, 36/ 60), 36/60)</f>
        <v>0</v>
      </c>
      <c r="F27" s="87">
        <f>IF(OR(D20=0, D20=""), IF(OR(D21=0, D21=""),  0, 36/60), 36/60)</f>
        <v>0</v>
      </c>
      <c r="G27" s="138">
        <f>IF(OR(D23=0, D23=""), IF(OR(D24=0, D24=""),  0, 36/60), 36/60)</f>
        <v>0</v>
      </c>
      <c r="H27" s="195">
        <f>IF(A27 &gt; 0, 1, 0) + IF(B27 &gt; 0, 1, 0) + IF(C27 &gt; 0, 1, 0) + IF(D27 &gt; 0, 1, 0) + IF(E27 &gt; 0, 1, 0) + IF(F27 &gt; 0, 1, 0) + IF(G27 &gt; 0, 1, 0)</f>
        <v>0</v>
      </c>
    </row>
    <row r="28" spans="1:8" ht="16.95" customHeight="1">
      <c r="A28" s="26"/>
      <c r="B28" s="92">
        <f>IF(F6 &lt;&gt; " ", IF(F5&gt;8 / 24,F6+F5-8 / 24,0 /24),  IF(F5&gt;8 / 24,F5-8 / 24,0 /24))</f>
        <v>0</v>
      </c>
      <c r="C28" s="25"/>
      <c r="D28" s="27" t="s">
        <v>5</v>
      </c>
      <c r="E28" s="28"/>
      <c r="F28" s="29" t="s">
        <v>30</v>
      </c>
      <c r="G28" s="29"/>
      <c r="H28" s="97"/>
    </row>
    <row r="29" spans="1:8" s="3" customFormat="1" ht="16.95" customHeight="1">
      <c r="A29" s="26"/>
      <c r="B29" s="92">
        <f>IF(F9 &lt;&gt; " ", IF(F8&gt;8 / 24,F9+F8-8 / 24,0 /24), IF(F8&gt;8 / 24,F8-8 / 24,0 /24) )</f>
        <v>0</v>
      </c>
      <c r="C29" s="25"/>
      <c r="D29" s="30" t="s">
        <v>1</v>
      </c>
      <c r="E29" s="31"/>
      <c r="F29" s="206">
        <v>467.89492000000001</v>
      </c>
      <c r="G29" s="32"/>
      <c r="H29" s="98"/>
    </row>
    <row r="30" spans="1:8" s="3" customFormat="1" ht="16.95" customHeight="1" thickBot="1">
      <c r="A30" s="26"/>
      <c r="B30" s="92">
        <f>IF(F12 &lt;&gt; " ", IF(F11&gt;8 / 24,F12+F11-8 / 24,0 /24),IF(F11&gt;8 / 24,F11-8 / 24,0 /24))</f>
        <v>0</v>
      </c>
      <c r="C30" s="25"/>
      <c r="D30" s="33" t="s">
        <v>4</v>
      </c>
      <c r="E30" s="34"/>
      <c r="F30" s="207">
        <f>+F29/35</f>
        <v>13.368426285714285</v>
      </c>
      <c r="G30" s="140">
        <f>+G29/35</f>
        <v>0</v>
      </c>
      <c r="H30" s="141">
        <f>+H29/35</f>
        <v>0</v>
      </c>
    </row>
    <row r="31" spans="1:8" s="3" customFormat="1" ht="16.95" customHeight="1">
      <c r="A31" s="127">
        <f>IF(E34+E42&gt;=0,-E42,-E42-(-E42-E34))</f>
        <v>0</v>
      </c>
      <c r="B31" s="92">
        <f>IF(F15 &lt;&gt; " ", IF(F14&gt;8 / 24,F15+F14-8 / 24,0 /24), IF(F14&gt;8 / 24,F14-8 / 24,0 /24))</f>
        <v>0</v>
      </c>
      <c r="C31" s="36"/>
      <c r="D31" s="37" t="s">
        <v>0</v>
      </c>
      <c r="E31" s="38">
        <f>IF(E26&gt;35 / 24,35 / 24,E26)</f>
        <v>0</v>
      </c>
      <c r="F31" s="39">
        <f>(F30*E31)*24</f>
        <v>0</v>
      </c>
      <c r="G31" s="142">
        <f>(G30*E31)*24</f>
        <v>0</v>
      </c>
      <c r="H31" s="143">
        <f>(H30*E31)*24</f>
        <v>0</v>
      </c>
    </row>
    <row r="32" spans="1:8" s="3" customFormat="1" ht="16.95" customHeight="1">
      <c r="A32" s="128">
        <f>IF(A31 &lt;&gt; -E42, IF(E33 &gt; (-E42-E34), -E42-A31, -E42-(-E42-E34-E33)), 0)</f>
        <v>0</v>
      </c>
      <c r="B32" s="92">
        <f>IF(F18 &lt;&gt; " ", IF(F17&gt;8 / 24,F18+F17-8 / 24,0 /24), IF(F17&gt;8 / 24,F17-8 / 24,0 /24))</f>
        <v>0</v>
      </c>
      <c r="C32" s="40" t="s">
        <v>20</v>
      </c>
      <c r="D32" s="41" t="s">
        <v>6</v>
      </c>
      <c r="E32" s="42">
        <f>IF(E26&gt;35 / 24,IF(E26&lt;43 / 24,E26-35 / 24,8 / 24),0 / 24)</f>
        <v>0</v>
      </c>
      <c r="F32" s="43">
        <f>((F30*E32)*24)*1.25</f>
        <v>0</v>
      </c>
      <c r="G32" s="144">
        <f>((G30*E32)*24)*1.25</f>
        <v>0</v>
      </c>
      <c r="H32" s="145">
        <f>((H30*E32)*24)*1.25</f>
        <v>0</v>
      </c>
    </row>
    <row r="33" spans="1:8" s="3" customFormat="1" ht="16.95" customHeight="1">
      <c r="A33" s="127">
        <f>IF(A31+A32&lt;&gt;-E42,IF(E32&gt;(-E42-E34-E33),-E42-A32, -E42-(-E42-E34-E33-E32)),0)</f>
        <v>0</v>
      </c>
      <c r="B33" s="92">
        <f>IF(F21 &lt;&gt; " ", IF(F20&gt;8 / 24,F21+F20-8 / 24,0 /24), IF(F20&gt;8 / 24,F20-8 / 24,0 /24))</f>
        <v>0</v>
      </c>
      <c r="C33" s="44" t="s">
        <v>23</v>
      </c>
      <c r="D33" s="45" t="s">
        <v>7</v>
      </c>
      <c r="E33" s="46">
        <f>IF(E26&gt;48 / 24,5 / 24,IF(E26&gt;43 / 24,E26-43 / 24,0 / 24))</f>
        <v>0</v>
      </c>
      <c r="F33" s="47">
        <f>((F30*E33)*24)*1.5</f>
        <v>0</v>
      </c>
      <c r="G33" s="146">
        <f>((G30*E33)*24)*1.5</f>
        <v>0</v>
      </c>
      <c r="H33" s="147">
        <f>((H30*E33)*24)*1.5</f>
        <v>0</v>
      </c>
    </row>
    <row r="34" spans="1:8" s="3" customFormat="1" ht="16.95" customHeight="1">
      <c r="A34" s="128">
        <f>IF(A31+A32+A33 &lt;&gt; -E42, IF(E31&gt;(-E42-E34-E33 - E32),-E42-A33, -E42-(-E42-E34-E33-E32-E31)), 0)</f>
        <v>0</v>
      </c>
      <c r="B34" s="92">
        <f>IF(F24 &lt;&gt; " ", IF(F23&gt;8 / 24,F24+F23-8 / 24,0 /24), IF(F23&gt;8 / 24,F23-8 / 24,0 /24))</f>
        <v>0</v>
      </c>
      <c r="C34" s="40" t="s">
        <v>24</v>
      </c>
      <c r="D34" s="41" t="s">
        <v>21</v>
      </c>
      <c r="E34" s="42">
        <f>IF(E26&gt;48 / 24,E26- 48 / 24,0 /24)</f>
        <v>0</v>
      </c>
      <c r="F34" s="43">
        <f>((F30*E34)*24)*1.75</f>
        <v>0</v>
      </c>
      <c r="G34" s="144">
        <f>((G30*E34)*24)*1.75</f>
        <v>0</v>
      </c>
      <c r="H34" s="145">
        <f>((H30*E34)*24)*1.75</f>
        <v>0</v>
      </c>
    </row>
    <row r="35" spans="1:8" s="3" customFormat="1" ht="16.95" customHeight="1">
      <c r="A35" s="104"/>
      <c r="B35" s="84"/>
      <c r="C35" s="48"/>
      <c r="D35" s="49" t="s">
        <v>22</v>
      </c>
      <c r="E35" s="50">
        <f>G25</f>
        <v>0</v>
      </c>
      <c r="F35" s="51">
        <f>(F30*E35)*24</f>
        <v>0</v>
      </c>
      <c r="G35" s="148">
        <f>(G30*E35)*24</f>
        <v>0</v>
      </c>
      <c r="H35" s="149">
        <f>(H30*E35)*24</f>
        <v>0</v>
      </c>
    </row>
    <row r="36" spans="1:8" s="3" customFormat="1" ht="16.95" customHeight="1" thickBot="1">
      <c r="A36" s="35"/>
      <c r="B36" s="52" t="str">
        <f>IF(Deb &lt; 0.9, "(Studio Agréé 21h à 6h)", "Studio de 22h à 6h")</f>
        <v>Studio de 22h à 6h</v>
      </c>
      <c r="C36" s="53"/>
      <c r="D36" s="54" t="s">
        <v>26</v>
      </c>
      <c r="E36" s="55">
        <f>F26</f>
        <v>0</v>
      </c>
      <c r="F36" s="56">
        <f>((F30*(SUM(F26,B28,B29,B30,B31,B32,B33,B34)))*24)*0.5</f>
        <v>0</v>
      </c>
      <c r="G36" s="150">
        <f>((G30*E36)*24)*0.5</f>
        <v>0</v>
      </c>
      <c r="H36" s="151">
        <f>((H30*E36)*24)*0.5</f>
        <v>0</v>
      </c>
    </row>
    <row r="37" spans="1:8" s="3" customFormat="1" ht="16.95" customHeight="1">
      <c r="A37" s="35"/>
      <c r="B37" s="57" t="s">
        <v>9</v>
      </c>
      <c r="C37" s="58"/>
      <c r="D37" s="59" t="s">
        <v>28</v>
      </c>
      <c r="E37" s="60">
        <f>G26</f>
        <v>0</v>
      </c>
      <c r="F37" s="61">
        <f>(F30*E37)*24</f>
        <v>0</v>
      </c>
      <c r="G37" s="152">
        <f>(G30*E37)*24</f>
        <v>0</v>
      </c>
      <c r="H37" s="153">
        <f>(H30*E37)*24</f>
        <v>0</v>
      </c>
    </row>
    <row r="38" spans="1:8" ht="16.95" customHeight="1">
      <c r="A38" s="35"/>
      <c r="B38" s="62">
        <f>IF(D2&gt;DATE(YEAR(D2),3,31),IF(D2&lt;DATE(YEAR(D2),10,1),22 / 24,20 / 24),20 /24)</f>
        <v>0.91666666666666663</v>
      </c>
      <c r="C38" s="94"/>
      <c r="D38" s="54" t="s">
        <v>25</v>
      </c>
      <c r="E38" s="55">
        <f>H26</f>
        <v>0</v>
      </c>
      <c r="F38" s="56">
        <f>(F30*E38)*24</f>
        <v>0</v>
      </c>
      <c r="G38" s="150">
        <f>(G30*E38)*24</f>
        <v>0</v>
      </c>
      <c r="H38" s="151">
        <f>(G30*E38)*24</f>
        <v>0</v>
      </c>
    </row>
    <row r="39" spans="1:8" ht="15.6">
      <c r="A39" s="63"/>
      <c r="B39" s="64" t="s">
        <v>8</v>
      </c>
      <c r="C39" s="111"/>
      <c r="D39" s="59" t="s">
        <v>60</v>
      </c>
      <c r="E39" s="60">
        <f>SUM(E6,E9,E12,E15,E18,E21,E24)</f>
        <v>0</v>
      </c>
      <c r="F39" s="61">
        <f>(F30*E39)*24</f>
        <v>0</v>
      </c>
      <c r="G39" s="152">
        <f>(G30*E39)*24</f>
        <v>0</v>
      </c>
      <c r="H39" s="153">
        <f>(H30*E39)*24</f>
        <v>0</v>
      </c>
    </row>
    <row r="40" spans="1:8" ht="16.2" thickBot="1">
      <c r="A40" s="63" t="s">
        <v>15</v>
      </c>
      <c r="B40" s="65">
        <v>0.25</v>
      </c>
      <c r="C40" s="53"/>
      <c r="D40" s="54" t="s">
        <v>3</v>
      </c>
      <c r="E40" s="55">
        <v>0</v>
      </c>
      <c r="F40" s="56">
        <f>(F30*E40)*24</f>
        <v>0</v>
      </c>
      <c r="G40" s="150">
        <f>(G30*E40)*24</f>
        <v>0</v>
      </c>
      <c r="H40" s="151">
        <f>(H30*E40)*24</f>
        <v>0</v>
      </c>
    </row>
    <row r="41" spans="1:8" ht="15.6">
      <c r="A41" s="63" t="s">
        <v>54</v>
      </c>
      <c r="B41" s="90"/>
      <c r="C41" s="112"/>
      <c r="D41" s="59" t="s">
        <v>35</v>
      </c>
      <c r="E41" s="122">
        <f>IF(B7&lt;&gt;"",E5,IF(B10&lt;&gt;"",E8,IF(B13&lt;&gt;"",E11,IF(B16&lt;&gt;"",E14,IF(B19&lt;&gt;"",E17,IF(B22&lt;&gt;"",E20, IF(B25&lt;&gt;"",E23, 0)))))))</f>
        <v>0</v>
      </c>
      <c r="F41" s="113">
        <f>(F30*E41)*24</f>
        <v>0</v>
      </c>
      <c r="G41" s="154">
        <v>0</v>
      </c>
      <c r="H41" s="155">
        <v>0</v>
      </c>
    </row>
    <row r="42" spans="1:8" ht="16.2" thickBot="1">
      <c r="A42" s="86" t="s">
        <v>32</v>
      </c>
      <c r="B42" s="90"/>
      <c r="C42" s="114"/>
      <c r="D42" s="115" t="s">
        <v>31</v>
      </c>
      <c r="E42" s="123">
        <f>-IF(H27 &gt; 5, 4/24, (SUM(A27,B27,C27,D27,E27,F27,G27)/24))</f>
        <v>0</v>
      </c>
      <c r="F42" s="116">
        <f>-((A31*F30*24*1.75)+(A32*F30*24*1.5)+(A33*F30*24*1.25)+(A34*F30*24))</f>
        <v>0</v>
      </c>
      <c r="G42" s="156">
        <f>(G30*E42)*24</f>
        <v>0</v>
      </c>
      <c r="H42" s="157">
        <f>(H30*E42)*24</f>
        <v>0</v>
      </c>
    </row>
    <row r="43" spans="1:8" ht="16.2" thickBot="1">
      <c r="A43" s="91"/>
      <c r="B43" s="89"/>
      <c r="C43" s="120"/>
      <c r="D43" s="95" t="s">
        <v>19</v>
      </c>
      <c r="E43" s="96">
        <f>IF(E42 &lt; -3/24, IF(E26&lt;(56/24), 52/24, SUM(E26,E42)),  IF(E42=-3/24, (IF(E26&lt;(46/24), 43/24,SUM(E26,E42))),SUM(E26,E42)))</f>
        <v>0</v>
      </c>
      <c r="F43" s="208">
        <f>IF(E42=-3/24,IF(SUM(F31:F42)&lt;1486.76,1486.76,SUM(F31:F42)),IF(E42&lt;-3/24,IF(SUM(F31:F42)&lt;1965.82,1965.82,SUM(F31:F42)),SUM(F31:F42)))</f>
        <v>0</v>
      </c>
      <c r="G43" s="158">
        <f>SUM(G31:G42)</f>
        <v>0</v>
      </c>
      <c r="H43" s="159">
        <f>SUM(H31:H42)</f>
        <v>0</v>
      </c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4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Ugo Villion</cp:lastModifiedBy>
  <cp:lastPrinted>2022-02-19T19:47:03Z</cp:lastPrinted>
  <dcterms:created xsi:type="dcterms:W3CDTF">2002-09-15T20:21:11Z</dcterms:created>
  <dcterms:modified xsi:type="dcterms:W3CDTF">2024-06-16T18:16:21Z</dcterms:modified>
  <cp:category/>
</cp:coreProperties>
</file>