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262d6a9b86d85f4/Documents/Assistant Cam/AOA/"/>
    </mc:Choice>
  </mc:AlternateContent>
  <xr:revisionPtr revIDLastSave="13" documentId="13_ncr:1_{260DFC46-BFED-43EE-A3E9-EB8EB67B7D43}" xr6:coauthVersionLast="47" xr6:coauthVersionMax="47" xr10:uidLastSave="{9FB3E18E-41EC-4569-9F2E-D00F1534979C}"/>
  <bookViews>
    <workbookView xWindow="0" yWindow="180" windowWidth="21972" windowHeight="11712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6" r:id="rId4"/>
  </sheets>
  <definedNames>
    <definedName name="Deb" localSheetId="1">'1er Ass OPV'!$B$37</definedName>
    <definedName name="Deb" localSheetId="2">'2nd Ass OPV'!$B$37</definedName>
    <definedName name="Deb" localSheetId="3">'Ass OPV Adj'!$B$37</definedName>
    <definedName name="Deb">#REF!</definedName>
    <definedName name="Fin" localSheetId="1">'1er Ass OPV'!$B$39</definedName>
    <definedName name="Fin" localSheetId="2">'2nd Ass OPV'!$B$39</definedName>
    <definedName name="Fin" localSheetId="3">'Ass OPV Adj'!$B$39</definedName>
    <definedName name="Fin">#REF!</definedName>
  </definedNames>
  <calcPr calcId="19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F1" i="16" l="1"/>
  <c r="F1" i="15"/>
  <c r="B21" i="15"/>
  <c r="A33" i="16"/>
  <c r="F40" i="16"/>
  <c r="F38" i="16"/>
  <c r="F40" i="15"/>
  <c r="F38" i="15"/>
  <c r="G8" i="12"/>
  <c r="F23" i="12"/>
  <c r="F24" i="12"/>
  <c r="G23" i="12"/>
  <c r="G20" i="12"/>
  <c r="G17" i="12"/>
  <c r="G14" i="12"/>
  <c r="G11" i="12"/>
  <c r="A29" i="12"/>
  <c r="F5" i="12"/>
  <c r="D3" i="15"/>
  <c r="H23" i="16"/>
  <c r="H20" i="16"/>
  <c r="H17" i="16"/>
  <c r="H14" i="16"/>
  <c r="H11" i="16"/>
  <c r="H8" i="16"/>
  <c r="H5" i="16"/>
  <c r="D2" i="12"/>
  <c r="H23" i="15" l="1"/>
  <c r="H20" i="15"/>
  <c r="H17" i="15"/>
  <c r="H14" i="15"/>
  <c r="H11" i="15"/>
  <c r="H8" i="15"/>
  <c r="H5" i="15"/>
  <c r="D5" i="15"/>
  <c r="D3" i="12"/>
  <c r="D16" i="12" l="1"/>
  <c r="D13" i="12"/>
  <c r="C13" i="12"/>
  <c r="D10" i="12"/>
  <c r="D7" i="12"/>
  <c r="C7" i="12"/>
  <c r="C10" i="12" l="1"/>
  <c r="C16" i="12"/>
  <c r="B39" i="12" l="1"/>
  <c r="B37" i="12" l="1"/>
  <c r="D1" i="15"/>
  <c r="D1" i="16"/>
  <c r="B2" i="15"/>
  <c r="B1" i="15"/>
  <c r="B2" i="16"/>
  <c r="B1" i="16"/>
  <c r="D2" i="16"/>
  <c r="D3" i="16" s="1"/>
  <c r="D2" i="15"/>
  <c r="D24" i="16"/>
  <c r="C24" i="16"/>
  <c r="D23" i="16"/>
  <c r="C23" i="16"/>
  <c r="D21" i="16"/>
  <c r="C21" i="16"/>
  <c r="D20" i="16"/>
  <c r="G23" i="16" s="1"/>
  <c r="C20" i="16"/>
  <c r="D22" i="16" s="1"/>
  <c r="D18" i="16"/>
  <c r="C18" i="16"/>
  <c r="D17" i="16"/>
  <c r="C17" i="16"/>
  <c r="D15" i="16"/>
  <c r="C15" i="16"/>
  <c r="D14" i="16"/>
  <c r="C14" i="16"/>
  <c r="D16" i="16" s="1"/>
  <c r="D12" i="16"/>
  <c r="C12" i="16"/>
  <c r="D11" i="16"/>
  <c r="C11" i="16"/>
  <c r="D13" i="16" s="1"/>
  <c r="D9" i="16"/>
  <c r="C9" i="16"/>
  <c r="D8" i="16"/>
  <c r="C8" i="16"/>
  <c r="D10" i="16" s="1"/>
  <c r="D6" i="16"/>
  <c r="C6" i="16"/>
  <c r="D5" i="16"/>
  <c r="C5" i="16"/>
  <c r="D24" i="15"/>
  <c r="D23" i="15"/>
  <c r="C24" i="15"/>
  <c r="C23" i="15"/>
  <c r="C21" i="15"/>
  <c r="D21" i="15"/>
  <c r="D20" i="15"/>
  <c r="C20" i="15"/>
  <c r="D18" i="15"/>
  <c r="C18" i="15"/>
  <c r="D17" i="15"/>
  <c r="C17" i="15"/>
  <c r="D15" i="15"/>
  <c r="C15" i="15"/>
  <c r="D14" i="15"/>
  <c r="C14" i="15"/>
  <c r="D12" i="15"/>
  <c r="C12" i="15"/>
  <c r="D11" i="15"/>
  <c r="C11" i="15"/>
  <c r="D9" i="15"/>
  <c r="C9" i="15"/>
  <c r="D8" i="15"/>
  <c r="C8" i="15"/>
  <c r="D10" i="15" s="1"/>
  <c r="D6" i="15"/>
  <c r="C6" i="15"/>
  <c r="C5" i="15"/>
  <c r="D7" i="15" s="1"/>
  <c r="F30" i="16"/>
  <c r="H26" i="16"/>
  <c r="E38" i="16" s="1"/>
  <c r="F30" i="15"/>
  <c r="H26" i="15"/>
  <c r="E38" i="15" s="1"/>
  <c r="D22" i="15"/>
  <c r="F21" i="15"/>
  <c r="F22" i="15" s="1"/>
  <c r="H26" i="12"/>
  <c r="E38" i="12" s="1"/>
  <c r="E8" i="12"/>
  <c r="D25" i="12"/>
  <c r="C25" i="12"/>
  <c r="B23" i="12" s="1"/>
  <c r="F25" i="12"/>
  <c r="E23" i="12"/>
  <c r="H25" i="12" s="1"/>
  <c r="F24" i="15" l="1"/>
  <c r="D25" i="16"/>
  <c r="F24" i="16"/>
  <c r="F23" i="16"/>
  <c r="F23" i="15"/>
  <c r="G8" i="16"/>
  <c r="E20" i="16"/>
  <c r="H22" i="16" s="1"/>
  <c r="B14" i="16"/>
  <c r="B11" i="16"/>
  <c r="D13" i="15"/>
  <c r="G11" i="15"/>
  <c r="G11" i="16"/>
  <c r="E8" i="15"/>
  <c r="H10" i="15" s="1"/>
  <c r="B37" i="15"/>
  <c r="B8" i="15"/>
  <c r="C10" i="15"/>
  <c r="E10" i="15" s="1"/>
  <c r="E9" i="15" s="1"/>
  <c r="B9" i="15" s="1"/>
  <c r="B17" i="16"/>
  <c r="B17" i="15"/>
  <c r="A6" i="16"/>
  <c r="A17" i="16" s="1"/>
  <c r="B11" i="15"/>
  <c r="C10" i="16"/>
  <c r="E10" i="16" s="1"/>
  <c r="E9" i="16" s="1"/>
  <c r="B9" i="16" s="1"/>
  <c r="B8" i="16"/>
  <c r="E8" i="16"/>
  <c r="H10" i="16" s="1"/>
  <c r="C16" i="15"/>
  <c r="E16" i="15" s="1"/>
  <c r="D19" i="16"/>
  <c r="D16" i="15"/>
  <c r="B14" i="15"/>
  <c r="B37" i="16"/>
  <c r="E14" i="16"/>
  <c r="H16" i="16" s="1"/>
  <c r="G23" i="15"/>
  <c r="E20" i="15"/>
  <c r="H22" i="15" s="1"/>
  <c r="C22" i="15"/>
  <c r="E22" i="15" s="1"/>
  <c r="E21" i="15" s="1"/>
  <c r="C25" i="16"/>
  <c r="E25" i="16" s="1"/>
  <c r="E24" i="16" s="1"/>
  <c r="B24" i="16" s="1"/>
  <c r="E23" i="16"/>
  <c r="H25" i="16" s="1"/>
  <c r="D25" i="15"/>
  <c r="G20" i="16"/>
  <c r="E17" i="15"/>
  <c r="H19" i="15" s="1"/>
  <c r="E17" i="16"/>
  <c r="H19" i="16" s="1"/>
  <c r="C19" i="16"/>
  <c r="E19" i="16" s="1"/>
  <c r="E11" i="16"/>
  <c r="H13" i="16" s="1"/>
  <c r="G14" i="15"/>
  <c r="C13" i="16"/>
  <c r="E13" i="16" s="1"/>
  <c r="E12" i="16" s="1"/>
  <c r="B12" i="16" s="1"/>
  <c r="G14" i="16"/>
  <c r="E11" i="15"/>
  <c r="H13" i="15" s="1"/>
  <c r="G17" i="16"/>
  <c r="E14" i="15"/>
  <c r="H16" i="15" s="1"/>
  <c r="G17" i="15"/>
  <c r="D7" i="16"/>
  <c r="B5" i="16"/>
  <c r="E5" i="15"/>
  <c r="H7" i="15" s="1"/>
  <c r="G8" i="15"/>
  <c r="C25" i="15"/>
  <c r="E25" i="15" s="1"/>
  <c r="E5" i="16"/>
  <c r="H7" i="16" s="1"/>
  <c r="C7" i="16"/>
  <c r="E7" i="16" s="1"/>
  <c r="C7" i="15"/>
  <c r="E7" i="15" s="1"/>
  <c r="E6" i="15" s="1"/>
  <c r="B6" i="15" s="1"/>
  <c r="E23" i="15"/>
  <c r="H25" i="15" s="1"/>
  <c r="F21" i="16"/>
  <c r="F22" i="16" s="1"/>
  <c r="C16" i="16"/>
  <c r="E16" i="16" s="1"/>
  <c r="E15" i="16" s="1"/>
  <c r="B15" i="16" s="1"/>
  <c r="C22" i="16"/>
  <c r="E22" i="16" s="1"/>
  <c r="E21" i="16" s="1"/>
  <c r="B5" i="15"/>
  <c r="G20" i="15"/>
  <c r="C13" i="15"/>
  <c r="E13" i="15" s="1"/>
  <c r="E12" i="15" s="1"/>
  <c r="B12" i="15" s="1"/>
  <c r="C19" i="15"/>
  <c r="E19" i="15" s="1"/>
  <c r="D19" i="15"/>
  <c r="A11" i="16"/>
  <c r="A28" i="16"/>
  <c r="B39" i="16"/>
  <c r="A9" i="16"/>
  <c r="A14" i="16"/>
  <c r="A5" i="16"/>
  <c r="B7" i="16" s="1"/>
  <c r="A20" i="16"/>
  <c r="A8" i="16"/>
  <c r="A6" i="15"/>
  <c r="B39" i="15"/>
  <c r="E25" i="12"/>
  <c r="E24" i="12" s="1"/>
  <c r="D22" i="12"/>
  <c r="D19" i="12"/>
  <c r="E24" i="15" l="1"/>
  <c r="B24" i="15" s="1"/>
  <c r="B23" i="16"/>
  <c r="B20" i="15"/>
  <c r="E18" i="16"/>
  <c r="B18" i="16" s="1"/>
  <c r="E15" i="15"/>
  <c r="B15" i="15" s="1"/>
  <c r="G26" i="16"/>
  <c r="E37" i="16" s="1"/>
  <c r="F37" i="16" s="1"/>
  <c r="E26" i="16"/>
  <c r="E32" i="16" s="1"/>
  <c r="F32" i="16" s="1"/>
  <c r="A7" i="16"/>
  <c r="F5" i="16" s="1"/>
  <c r="E6" i="16"/>
  <c r="B6" i="16" s="1"/>
  <c r="G26" i="15"/>
  <c r="E37" i="15" s="1"/>
  <c r="F37" i="15" s="1"/>
  <c r="E26" i="15"/>
  <c r="E32" i="15" s="1"/>
  <c r="F32" i="15" s="1"/>
  <c r="B23" i="15"/>
  <c r="G25" i="16"/>
  <c r="E35" i="16" s="1"/>
  <c r="F35" i="16" s="1"/>
  <c r="B42" i="16"/>
  <c r="B42" i="15"/>
  <c r="E18" i="15"/>
  <c r="B18" i="15" s="1"/>
  <c r="A9" i="15"/>
  <c r="A12" i="15" s="1"/>
  <c r="G25" i="15"/>
  <c r="E35" i="15" s="1"/>
  <c r="F35" i="15" s="1"/>
  <c r="B20" i="16"/>
  <c r="B10" i="16"/>
  <c r="A12" i="16"/>
  <c r="A10" i="16"/>
  <c r="A23" i="16"/>
  <c r="A29" i="16"/>
  <c r="B21" i="16"/>
  <c r="A17" i="15"/>
  <c r="A8" i="15"/>
  <c r="A5" i="15"/>
  <c r="B7" i="15" s="1"/>
  <c r="A14" i="15"/>
  <c r="A28" i="15"/>
  <c r="A7" i="15"/>
  <c r="A20" i="15"/>
  <c r="A11" i="15"/>
  <c r="B24" i="12"/>
  <c r="E42" i="15" l="1"/>
  <c r="E42" i="16"/>
  <c r="E33" i="16"/>
  <c r="F33" i="16" s="1"/>
  <c r="E34" i="16"/>
  <c r="F34" i="16" s="1"/>
  <c r="E39" i="16"/>
  <c r="F39" i="16" s="1"/>
  <c r="F6" i="16"/>
  <c r="F7" i="16" s="1"/>
  <c r="E31" i="16"/>
  <c r="F31" i="16" s="1"/>
  <c r="F8" i="16"/>
  <c r="F9" i="16"/>
  <c r="F10" i="16" s="1"/>
  <c r="E39" i="15"/>
  <c r="F39" i="15" s="1"/>
  <c r="B10" i="15"/>
  <c r="A29" i="15"/>
  <c r="A23" i="15"/>
  <c r="A10" i="15"/>
  <c r="E33" i="15"/>
  <c r="F33" i="15" s="1"/>
  <c r="E34" i="15"/>
  <c r="F34" i="15" s="1"/>
  <c r="E31" i="15"/>
  <c r="F31" i="15" s="1"/>
  <c r="F5" i="15"/>
  <c r="F6" i="15"/>
  <c r="F7" i="15" s="1"/>
  <c r="B13" i="16"/>
  <c r="A30" i="16"/>
  <c r="A15" i="16"/>
  <c r="A13" i="16"/>
  <c r="F12" i="16" s="1"/>
  <c r="F13" i="16" s="1"/>
  <c r="A30" i="15"/>
  <c r="B13" i="15"/>
  <c r="A15" i="15"/>
  <c r="A13" i="15"/>
  <c r="F12" i="15" s="1"/>
  <c r="F13" i="15" s="1"/>
  <c r="F8" i="15" l="1"/>
  <c r="F9" i="15"/>
  <c r="F10" i="15" s="1"/>
  <c r="F11" i="15"/>
  <c r="F11" i="16"/>
  <c r="A31" i="16"/>
  <c r="B16" i="16"/>
  <c r="A18" i="16"/>
  <c r="A16" i="16"/>
  <c r="A31" i="15"/>
  <c r="A18" i="15"/>
  <c r="A16" i="15"/>
  <c r="F15" i="15" s="1"/>
  <c r="F16" i="15" s="1"/>
  <c r="B16" i="15"/>
  <c r="F14" i="16" l="1"/>
  <c r="F15" i="16"/>
  <c r="F16" i="16" s="1"/>
  <c r="F14" i="15"/>
  <c r="A32" i="16"/>
  <c r="B19" i="16"/>
  <c r="A21" i="16"/>
  <c r="A24" i="16" s="1"/>
  <c r="A19" i="16"/>
  <c r="A32" i="15"/>
  <c r="B19" i="15"/>
  <c r="A21" i="15"/>
  <c r="A19" i="15"/>
  <c r="F21" i="12"/>
  <c r="F22" i="12" s="1"/>
  <c r="A6" i="12"/>
  <c r="F17" i="15" l="1"/>
  <c r="F18" i="15"/>
  <c r="F19" i="15" s="1"/>
  <c r="F17" i="16"/>
  <c r="F18" i="16"/>
  <c r="F19" i="16" s="1"/>
  <c r="B22" i="16"/>
  <c r="A34" i="16"/>
  <c r="A22" i="16"/>
  <c r="F20" i="16" s="1"/>
  <c r="A33" i="15"/>
  <c r="B22" i="15"/>
  <c r="A24" i="15"/>
  <c r="A34" i="15" s="1"/>
  <c r="A22" i="15"/>
  <c r="F20" i="15" s="1"/>
  <c r="A14" i="12"/>
  <c r="A28" i="12"/>
  <c r="A5" i="12"/>
  <c r="A9" i="12"/>
  <c r="A10" i="12" s="1"/>
  <c r="A8" i="12"/>
  <c r="A17" i="12"/>
  <c r="A11" i="12"/>
  <c r="A20" i="12"/>
  <c r="A7" i="12"/>
  <c r="B25" i="16" l="1"/>
  <c r="A25" i="16"/>
  <c r="B25" i="15"/>
  <c r="E41" i="15" s="1"/>
  <c r="F41" i="15" s="1"/>
  <c r="A25" i="15"/>
  <c r="F8" i="12"/>
  <c r="A23" i="12"/>
  <c r="A12" i="12"/>
  <c r="A30" i="12" s="1"/>
  <c r="E41" i="16" l="1"/>
  <c r="F41" i="16" s="1"/>
  <c r="F9" i="12"/>
  <c r="F10" i="12" s="1"/>
  <c r="F25" i="16"/>
  <c r="F25" i="15"/>
  <c r="A15" i="12"/>
  <c r="A31" i="12" s="1"/>
  <c r="A13" i="12"/>
  <c r="F11" i="12" l="1"/>
  <c r="F12" i="12"/>
  <c r="F13" i="12" s="1"/>
  <c r="F26" i="15"/>
  <c r="E36" i="15" s="1"/>
  <c r="F36" i="15" s="1"/>
  <c r="F42" i="15" s="1"/>
  <c r="F26" i="16"/>
  <c r="E36" i="16" s="1"/>
  <c r="F36" i="16" s="1"/>
  <c r="F42" i="16" s="1"/>
  <c r="G26" i="12"/>
  <c r="E37" i="12" s="1"/>
  <c r="A16" i="12"/>
  <c r="A18" i="12"/>
  <c r="A21" i="12" s="1"/>
  <c r="F14" i="12" l="1"/>
  <c r="F15" i="12"/>
  <c r="F16" i="12" s="1"/>
  <c r="A24" i="12"/>
  <c r="A33" i="12"/>
  <c r="A32" i="12"/>
  <c r="B17" i="12"/>
  <c r="B14" i="12"/>
  <c r="B11" i="12"/>
  <c r="B8" i="12"/>
  <c r="B25" i="12" l="1"/>
  <c r="A34" i="12"/>
  <c r="B7" i="12"/>
  <c r="A25" i="12" l="1"/>
  <c r="B10" i="12"/>
  <c r="B13" i="12" l="1"/>
  <c r="B16" i="12" l="1"/>
  <c r="B19" i="12" l="1"/>
  <c r="B22" i="12"/>
  <c r="E14" i="12" l="1"/>
  <c r="E20" i="12"/>
  <c r="E41" i="12" s="1"/>
  <c r="F41" i="12" s="1"/>
  <c r="E17" i="12"/>
  <c r="E11" i="12"/>
  <c r="H13" i="12" s="1"/>
  <c r="C22" i="12"/>
  <c r="C19" i="12"/>
  <c r="E19" i="12" s="1"/>
  <c r="E16" i="12"/>
  <c r="E13" i="12"/>
  <c r="E10" i="12"/>
  <c r="F30" i="12"/>
  <c r="H19" i="12" l="1"/>
  <c r="H16" i="12"/>
  <c r="B20" i="12"/>
  <c r="E22" i="12"/>
  <c r="E21" i="12" s="1"/>
  <c r="B21" i="12" s="1"/>
  <c r="H10" i="12"/>
  <c r="A19" i="12"/>
  <c r="A22" i="12"/>
  <c r="F20" i="12" s="1"/>
  <c r="F40" i="12"/>
  <c r="F37" i="12"/>
  <c r="H22" i="12"/>
  <c r="E18" i="12"/>
  <c r="B18" i="12" s="1"/>
  <c r="E15" i="12"/>
  <c r="B15" i="12" s="1"/>
  <c r="E12" i="12"/>
  <c r="B12" i="12" s="1"/>
  <c r="E9" i="12"/>
  <c r="B9" i="12" s="1"/>
  <c r="F38" i="12"/>
  <c r="F17" i="12" l="1"/>
  <c r="F26" i="12" s="1"/>
  <c r="E36" i="12" s="1"/>
  <c r="F36" i="12" s="1"/>
  <c r="F18" i="12"/>
  <c r="F19" i="12" s="1"/>
  <c r="B5" i="12" l="1"/>
  <c r="F6" i="12"/>
  <c r="E7" i="12"/>
  <c r="E5" i="12"/>
  <c r="H7" i="12" s="1"/>
  <c r="G25" i="12" s="1"/>
  <c r="E35" i="12" s="1"/>
  <c r="F35" i="12" s="1"/>
  <c r="E26" i="12" l="1"/>
  <c r="E34" i="12" s="1"/>
  <c r="B42" i="12"/>
  <c r="E42" i="12" s="1"/>
  <c r="F7" i="12"/>
  <c r="E6" i="12"/>
  <c r="B6" i="12" l="1"/>
  <c r="E39" i="12"/>
  <c r="F39" i="12" s="1"/>
  <c r="E32" i="12"/>
  <c r="F32" i="12" s="1"/>
  <c r="E31" i="12"/>
  <c r="F31" i="12" s="1"/>
  <c r="E33" i="12"/>
  <c r="F33" i="12" s="1"/>
  <c r="F34" i="12"/>
  <c r="F42" i="12" l="1"/>
</calcChain>
</file>

<file path=xl/sharedStrings.xml><?xml version="1.0" encoding="utf-8"?>
<sst xmlns="http://schemas.openxmlformats.org/spreadsheetml/2006/main" count="147" uniqueCount="68">
  <si>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</si>
  <si>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</si>
  <si>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</si>
  <si>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</si>
  <si>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</si>
  <si>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</si>
  <si>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</si>
  <si>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</si>
  <si>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</si>
  <si>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</si>
  <si>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</si>
  <si>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</si>
  <si>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</si>
  <si>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</si>
  <si>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</si>
  <si>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</si>
  <si>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</si>
  <si>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</si>
  <si>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</si>
  <si>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</si>
  <si>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</si>
  <si>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</si>
  <si>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</si>
  <si>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</si>
  <si>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</si>
  <si>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</si>
  <si>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</si>
  <si>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</si>
  <si>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</si>
  <si>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</si>
  <si>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</si>
  <si>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</si>
  <si>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</si>
  <si>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</si>
  <si>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</si>
  <si>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</si>
  <si>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</si>
  <si>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</si>
  <si>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</si>
  <si>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</si>
  <si>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</si>
  <si>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</si>
  <si>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</si>
  <si>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</si>
  <si>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</si>
  <si>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</si>
  <si>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</si>
  <si>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</si>
  <si>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</si>
  <si>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</si>
  <si>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</si>
  <si>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</si>
  <si>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</si>
  <si>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</si>
  <si>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</si>
  <si>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La feuille prend en compte la période des heures de nuit (été ou hiver) en se basant sur les dates de la</t>
  </si>
  <si>
    <t>Tarif semaine 35H</t>
  </si>
  <si>
    <t>Heure Coupure Repas                      Début / Fin</t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</si>
  <si>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</si>
  <si>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</si>
  <si>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</si>
  <si>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</si>
  <si>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</si>
  <si>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Par exemple : saisir =DATE(2024;6;3) pour une semaine allant du 03/06/2024 au 09/06/2024.</t>
  </si>
  <si>
    <t>La feuille générera elle-même la date de fin semaine et les jours correspondants.</t>
  </si>
  <si>
    <t xml:space="preserve">Version 2.0 : Développement sous Excel 2019 </t>
  </si>
  <si>
    <t>Chaque feuille correspond à un poste différent (1er assistant OPV, 2nd assistant OPV &amp; assistant OPV adjoint).</t>
  </si>
  <si>
    <t>Matrice d'heures USPA - AOA - Version 2.0 - MaJ du 02/06/2024 - Tarifs : avenant du 1er février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</si>
</sst>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_€_ ;_ * \(#,##0.00\)\ _€_ ;_ * &quot;-&quot;??_)\ _€_ ;_ @_ "/>
    <numFmt numFmtId="165" formatCode="[h]:mm"/>
    <numFmt numFmtId="166" formatCode="h:mm;@"/>
    <numFmt numFmtId="167" formatCode="#,##0.00\ &quot;€&quot;"/>
  </numFmts>
  <fonts count="50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i/>
      <sz val="11"/>
      <name val="Geneva"/>
    </font>
    <font>
      <sz val="11"/>
      <color rgb="FF000000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34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65" fontId="8" fillId="9" borderId="7" xfId="0" applyNumberFormat="1" applyFont="1" applyFill="1" applyBorder="1" applyAlignment="1">
      <alignment horizontal="center" vertical="center"/>
    </xf>
    <xf numFmtId="165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165" fontId="8" fillId="1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6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5" fontId="8" fillId="12" borderId="2" xfId="0" applyNumberFormat="1" applyFont="1" applyFill="1" applyBorder="1" applyAlignment="1">
      <alignment horizontal="center" vertical="center"/>
    </xf>
    <xf numFmtId="165" fontId="30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1" fillId="9" borderId="23" xfId="0" applyFont="1" applyFill="1" applyBorder="1"/>
    <xf numFmtId="0" fontId="31" fillId="0" borderId="0" xfId="0" applyFont="1"/>
    <xf numFmtId="0" fontId="32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12" borderId="23" xfId="0" applyFont="1" applyFill="1" applyBorder="1"/>
    <xf numFmtId="165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2" fillId="9" borderId="23" xfId="0" applyFont="1" applyFill="1" applyBorder="1"/>
    <xf numFmtId="0" fontId="31" fillId="11" borderId="23" xfId="0" applyFont="1" applyFill="1" applyBorder="1"/>
    <xf numFmtId="0" fontId="31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5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5" fontId="28" fillId="12" borderId="5" xfId="31" applyNumberFormat="1" applyFont="1" applyFill="1" applyBorder="1" applyAlignment="1" applyProtection="1">
      <alignment horizontal="center" vertical="center"/>
      <protection locked="0"/>
    </xf>
    <xf numFmtId="165" fontId="8" fillId="4" borderId="2" xfId="0" applyNumberFormat="1" applyFont="1" applyFill="1" applyBorder="1" applyAlignment="1">
      <alignment horizontal="center" vertical="center"/>
    </xf>
    <xf numFmtId="165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5" fontId="35" fillId="4" borderId="2" xfId="0" applyNumberFormat="1" applyFont="1" applyFill="1" applyBorder="1" applyAlignment="1">
      <alignment horizontal="center" vertical="center"/>
    </xf>
    <xf numFmtId="165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5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5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5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4" fontId="10" fillId="5" borderId="34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2" fontId="8" fillId="14" borderId="15" xfId="0" applyNumberFormat="1" applyFont="1" applyFill="1" applyBorder="1" applyAlignment="1">
      <alignment horizontal="center" vertical="center"/>
    </xf>
    <xf numFmtId="0" fontId="31" fillId="4" borderId="23" xfId="0" applyFont="1" applyFill="1" applyBorder="1"/>
    <xf numFmtId="0" fontId="0" fillId="4" borderId="0" xfId="0" applyFill="1"/>
    <xf numFmtId="0" fontId="32" fillId="4" borderId="23" xfId="0" applyFont="1" applyFill="1" applyBorder="1"/>
    <xf numFmtId="0" fontId="31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2" fontId="8" fillId="14" borderId="28" xfId="0" applyNumberFormat="1" applyFont="1" applyFill="1" applyBorder="1" applyAlignment="1">
      <alignment horizontal="center" vertical="center"/>
    </xf>
    <xf numFmtId="4" fontId="8" fillId="9" borderId="27" xfId="0" applyNumberFormat="1" applyFont="1" applyFill="1" applyBorder="1" applyAlignment="1">
      <alignment horizontal="center" vertical="center"/>
    </xf>
    <xf numFmtId="4" fontId="8" fillId="8" borderId="23" xfId="0" applyNumberFormat="1" applyFont="1" applyFill="1" applyBorder="1" applyAlignment="1">
      <alignment horizontal="center" vertical="center"/>
    </xf>
    <xf numFmtId="4" fontId="8" fillId="9" borderId="23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13" borderId="23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right"/>
    </xf>
    <xf numFmtId="165" fontId="8" fillId="3" borderId="0" xfId="0" applyNumberFormat="1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0" borderId="35" xfId="0" applyFont="1" applyBorder="1"/>
    <xf numFmtId="0" fontId="2" fillId="16" borderId="0" xfId="0" applyFont="1" applyFill="1" applyAlignment="1">
      <alignment horizontal="center" vertical="center"/>
    </xf>
    <xf numFmtId="0" fontId="36" fillId="16" borderId="19" xfId="0" applyFont="1" applyFill="1" applyBorder="1" applyAlignment="1">
      <alignment horizontal="center"/>
    </xf>
    <xf numFmtId="0" fontId="20" fillId="16" borderId="2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/>
    </xf>
    <xf numFmtId="165" fontId="9" fillId="2" borderId="37" xfId="0" applyNumberFormat="1" applyFont="1" applyFill="1" applyBorder="1" applyAlignment="1">
      <alignment horizontal="center" vertical="center"/>
    </xf>
    <xf numFmtId="165" fontId="9" fillId="2" borderId="38" xfId="0" applyNumberFormat="1" applyFont="1" applyFill="1" applyBorder="1" applyAlignment="1">
      <alignment horizontal="center" vertical="center"/>
    </xf>
    <xf numFmtId="165" fontId="9" fillId="2" borderId="36" xfId="0" applyNumberFormat="1" applyFont="1" applyFill="1" applyBorder="1" applyAlignment="1">
      <alignment horizontal="center" vertical="center"/>
    </xf>
    <xf numFmtId="165" fontId="37" fillId="4" borderId="20" xfId="0" applyNumberFormat="1" applyFont="1" applyFill="1" applyBorder="1" applyAlignment="1">
      <alignment horizontal="center" vertical="center"/>
    </xf>
    <xf numFmtId="165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8" fillId="4" borderId="21" xfId="0" applyFont="1" applyFill="1" applyBorder="1"/>
    <xf numFmtId="0" fontId="38" fillId="4" borderId="12" xfId="0" applyFont="1" applyFill="1" applyBorder="1"/>
    <xf numFmtId="0" fontId="38" fillId="4" borderId="22" xfId="0" applyFont="1" applyFill="1" applyBorder="1"/>
    <xf numFmtId="0" fontId="39" fillId="4" borderId="20" xfId="0" applyFont="1" applyFill="1" applyBorder="1"/>
    <xf numFmtId="0" fontId="39" fillId="4" borderId="23" xfId="0" applyFont="1" applyFill="1" applyBorder="1"/>
    <xf numFmtId="0" fontId="40" fillId="4" borderId="20" xfId="0" applyFont="1" applyFill="1" applyBorder="1" applyAlignment="1">
      <alignment vertical="center"/>
    </xf>
    <xf numFmtId="0" fontId="39" fillId="4" borderId="23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1" fillId="11" borderId="20" xfId="0" applyFont="1" applyFill="1" applyBorder="1" applyAlignment="1">
      <alignment vertical="center"/>
    </xf>
    <xf numFmtId="0" fontId="41" fillId="11" borderId="23" xfId="0" applyFont="1" applyFill="1" applyBorder="1" applyAlignment="1">
      <alignment vertical="center"/>
    </xf>
    <xf numFmtId="0" fontId="41" fillId="4" borderId="20" xfId="0" applyFont="1" applyFill="1" applyBorder="1" applyAlignment="1">
      <alignment vertical="center"/>
    </xf>
    <xf numFmtId="0" fontId="41" fillId="4" borderId="23" xfId="0" applyFont="1" applyFill="1" applyBorder="1" applyAlignment="1">
      <alignment vertical="center"/>
    </xf>
    <xf numFmtId="0" fontId="41" fillId="12" borderId="20" xfId="0" applyFont="1" applyFill="1" applyBorder="1" applyAlignment="1">
      <alignment vertical="center"/>
    </xf>
    <xf numFmtId="0" fontId="41" fillId="12" borderId="23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41" fillId="9" borderId="20" xfId="0" applyFont="1" applyFill="1" applyBorder="1" applyAlignment="1">
      <alignment vertical="center"/>
    </xf>
    <xf numFmtId="0" fontId="41" fillId="9" borderId="23" xfId="0" applyFont="1" applyFill="1" applyBorder="1" applyAlignment="1">
      <alignment vertical="center"/>
    </xf>
    <xf numFmtId="0" fontId="43" fillId="9" borderId="20" xfId="0" applyFont="1" applyFill="1" applyBorder="1" applyAlignment="1">
      <alignment vertical="center"/>
    </xf>
    <xf numFmtId="0" fontId="44" fillId="9" borderId="23" xfId="0" applyFont="1" applyFill="1" applyBorder="1" applyAlignment="1">
      <alignment vertical="center"/>
    </xf>
    <xf numFmtId="0" fontId="43" fillId="4" borderId="20" xfId="0" applyFont="1" applyFill="1" applyBorder="1" applyAlignment="1">
      <alignment vertical="center"/>
    </xf>
    <xf numFmtId="0" fontId="44" fillId="4" borderId="23" xfId="0" applyFont="1" applyFill="1" applyBorder="1" applyAlignment="1">
      <alignment vertical="center"/>
    </xf>
    <xf numFmtId="0" fontId="46" fillId="12" borderId="23" xfId="0" applyFont="1" applyFill="1" applyBorder="1" applyAlignment="1">
      <alignment vertical="center"/>
    </xf>
    <xf numFmtId="0" fontId="46" fillId="4" borderId="23" xfId="0" applyFont="1" applyFill="1" applyBorder="1" applyAlignment="1">
      <alignment vertical="center"/>
    </xf>
    <xf numFmtId="0" fontId="46" fillId="4" borderId="18" xfId="0" applyFont="1" applyFill="1" applyBorder="1" applyAlignment="1">
      <alignment vertical="center"/>
    </xf>
    <xf numFmtId="0" fontId="46" fillId="4" borderId="2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165" fontId="24" fillId="16" borderId="18" xfId="0" applyNumberFormat="1" applyFont="1" applyFill="1" applyBorder="1" applyAlignment="1">
      <alignment horizontal="center"/>
    </xf>
    <xf numFmtId="0" fontId="39" fillId="4" borderId="0" xfId="0" applyFont="1" applyFill="1"/>
    <xf numFmtId="0" fontId="41" fillId="4" borderId="0" xfId="0" applyFont="1" applyFill="1" applyAlignment="1">
      <alignment vertical="center"/>
    </xf>
    <xf numFmtId="0" fontId="41" fillId="11" borderId="0" xfId="0" applyFont="1" applyFill="1" applyAlignment="1">
      <alignment vertical="center"/>
    </xf>
    <xf numFmtId="0" fontId="41" fillId="12" borderId="0" xfId="0" applyFont="1" applyFill="1" applyAlignment="1">
      <alignment vertical="center"/>
    </xf>
    <xf numFmtId="0" fontId="41" fillId="9" borderId="0" xfId="0" applyFont="1" applyFill="1" applyAlignment="1">
      <alignment vertical="center"/>
    </xf>
    <xf numFmtId="0" fontId="44" fillId="9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6" fillId="12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19" xfId="0" applyFont="1" applyFill="1" applyBorder="1" applyAlignment="1">
      <alignment vertical="center"/>
    </xf>
    <xf numFmtId="0" fontId="47" fillId="4" borderId="18" xfId="0" applyFont="1" applyFill="1" applyBorder="1" applyAlignment="1">
      <alignment vertical="center"/>
    </xf>
    <xf numFmtId="165" fontId="7" fillId="12" borderId="25" xfId="0" applyNumberFormat="1" applyFont="1" applyFill="1" applyBorder="1" applyAlignment="1">
      <alignment horizontal="center" vertical="center"/>
    </xf>
    <xf numFmtId="166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48" fillId="16" borderId="19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166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5" fontId="8" fillId="12" borderId="0" xfId="0" applyNumberFormat="1" applyFont="1" applyFill="1" applyAlignment="1">
      <alignment horizontal="center"/>
    </xf>
    <xf numFmtId="165" fontId="1" fillId="0" borderId="0" xfId="0" applyNumberFormat="1" applyFont="1"/>
    <xf numFmtId="167" fontId="7" fillId="6" borderId="14" xfId="0" applyNumberFormat="1" applyFont="1" applyFill="1" applyBorder="1" applyAlignment="1">
      <alignment horizontal="center" vertical="center"/>
    </xf>
    <xf numFmtId="167" fontId="8" fillId="14" borderId="15" xfId="0" applyNumberFormat="1" applyFont="1" applyFill="1" applyBorder="1" applyAlignment="1">
      <alignment horizontal="center" vertical="center"/>
    </xf>
    <xf numFmtId="167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1"/>
  <sheetViews>
    <sheetView tabSelected="1" zoomScale="75" zoomScaleNormal="75" workbookViewId="0">
      <selection activeCell="A2" sqref="A2"/>
    </sheetView>
  </sheetViews>
  <sheetFormatPr baseColWidth="10" defaultRowHeight="11.4"/>
  <cols>
    <col min="11" max="11" width="20.625" customWidth="1"/>
    <col min="12" max="12" width="9.5" hidden="1" customWidth="1"/>
  </cols>
  <sheetData>
    <row r="1" spans="1:12" ht="18" customHeight="1">
      <c r="A1" s="138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49"/>
    </row>
    <row r="2" spans="1:12" ht="12" customHeight="1">
      <c r="A2" s="141"/>
      <c r="B2" s="166"/>
      <c r="C2" s="166"/>
      <c r="D2" s="166"/>
      <c r="E2" s="166"/>
      <c r="F2" s="166"/>
      <c r="G2" s="166"/>
      <c r="H2" s="166"/>
      <c r="I2" s="166"/>
      <c r="J2" s="166"/>
      <c r="K2" s="142"/>
      <c r="L2" s="50"/>
    </row>
    <row r="3" spans="1:12" ht="25.95" customHeight="1">
      <c r="A3" s="143" t="s">
        <v>41</v>
      </c>
      <c r="B3" s="167"/>
      <c r="C3" s="167"/>
      <c r="D3" s="167"/>
      <c r="E3" s="167"/>
      <c r="F3" s="167"/>
      <c r="G3" s="167"/>
      <c r="H3" s="167"/>
      <c r="I3" s="167"/>
      <c r="J3" s="167"/>
      <c r="K3" s="144"/>
      <c r="L3" s="50"/>
    </row>
    <row r="4" spans="1:12" ht="24" customHeight="1">
      <c r="A4" s="145" t="s">
        <v>66</v>
      </c>
      <c r="B4" s="167"/>
      <c r="C4" s="167"/>
      <c r="D4" s="167"/>
      <c r="E4" s="167"/>
      <c r="F4" s="167"/>
      <c r="G4" s="167"/>
      <c r="H4" s="167"/>
      <c r="I4" s="167"/>
      <c r="J4" s="167"/>
      <c r="K4" s="144"/>
      <c r="L4" s="50"/>
    </row>
    <row r="5" spans="1:12" ht="24" customHeight="1">
      <c r="A5" s="145"/>
      <c r="B5" s="167"/>
      <c r="C5" s="167"/>
      <c r="D5" s="167"/>
      <c r="E5" s="167"/>
      <c r="F5" s="167"/>
      <c r="G5" s="167"/>
      <c r="H5" s="167"/>
      <c r="I5" s="167"/>
      <c r="J5" s="167"/>
      <c r="K5" s="144"/>
      <c r="L5" s="50"/>
    </row>
    <row r="6" spans="1:12" ht="28.05" customHeight="1">
      <c r="A6" s="146" t="s">
        <v>30</v>
      </c>
      <c r="B6" s="168"/>
      <c r="C6" s="168"/>
      <c r="D6" s="168"/>
      <c r="E6" s="168"/>
      <c r="F6" s="168"/>
      <c r="G6" s="168"/>
      <c r="H6" s="168"/>
      <c r="I6" s="168"/>
      <c r="J6" s="168"/>
      <c r="K6" s="147"/>
      <c r="L6" s="60"/>
    </row>
    <row r="7" spans="1:12" ht="22.8" customHeight="1">
      <c r="A7" s="146" t="s">
        <v>62</v>
      </c>
      <c r="B7" s="168"/>
      <c r="C7" s="168"/>
      <c r="D7" s="168"/>
      <c r="E7" s="168"/>
      <c r="F7" s="168"/>
      <c r="G7" s="168"/>
      <c r="H7" s="168"/>
      <c r="I7" s="168"/>
      <c r="J7" s="168"/>
      <c r="K7" s="147"/>
      <c r="L7" s="60"/>
    </row>
    <row r="8" spans="1:12" ht="22.95" customHeight="1">
      <c r="A8" s="146" t="s">
        <v>64</v>
      </c>
      <c r="B8" s="168"/>
      <c r="C8" s="168"/>
      <c r="D8" s="168"/>
      <c r="E8" s="168"/>
      <c r="F8" s="168"/>
      <c r="G8" s="168"/>
      <c r="H8" s="168"/>
      <c r="I8" s="168"/>
      <c r="J8" s="168"/>
      <c r="K8" s="147"/>
      <c r="L8" s="60"/>
    </row>
    <row r="9" spans="1:12" ht="22.95" customHeight="1">
      <c r="A9" s="146"/>
      <c r="B9" s="168"/>
      <c r="C9" s="168"/>
      <c r="D9" s="168"/>
      <c r="E9" s="168"/>
      <c r="F9" s="168"/>
      <c r="G9" s="168"/>
      <c r="H9" s="168"/>
      <c r="I9" s="168"/>
      <c r="J9" s="168"/>
      <c r="K9" s="147"/>
      <c r="L9" s="60"/>
    </row>
    <row r="10" spans="1:12" ht="22.95" customHeight="1">
      <c r="A10" s="146" t="s">
        <v>63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47"/>
      <c r="L10" s="60"/>
    </row>
    <row r="11" spans="1:12" s="102" customFormat="1" ht="22.95" customHeight="1">
      <c r="A11" s="148"/>
      <c r="B11" s="167"/>
      <c r="C11" s="167"/>
      <c r="D11" s="167"/>
      <c r="E11" s="167"/>
      <c r="F11" s="167"/>
      <c r="G11" s="167"/>
      <c r="H11" s="167"/>
      <c r="I11" s="167"/>
      <c r="J11" s="167"/>
      <c r="K11" s="149"/>
      <c r="L11" s="101"/>
    </row>
    <row r="12" spans="1:12" ht="27" customHeight="1">
      <c r="A12" s="150" t="s">
        <v>37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51"/>
      <c r="L12" s="61"/>
    </row>
    <row r="13" spans="1:12" ht="24" customHeight="1">
      <c r="A13" s="152" t="s">
        <v>38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51"/>
      <c r="L13" s="61"/>
    </row>
    <row r="14" spans="1:12" ht="24" customHeight="1">
      <c r="A14" s="150" t="s">
        <v>39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51"/>
      <c r="L14" s="61"/>
    </row>
    <row r="15" spans="1:12" ht="24" customHeight="1">
      <c r="A15" s="150" t="s">
        <v>40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51"/>
      <c r="L15" s="61"/>
    </row>
    <row r="16" spans="1:12" ht="24" customHeight="1">
      <c r="A16" s="150"/>
      <c r="B16" s="169"/>
      <c r="C16" s="169"/>
      <c r="D16" s="169"/>
      <c r="E16" s="169"/>
      <c r="F16" s="169"/>
      <c r="G16" s="169"/>
      <c r="H16" s="169"/>
      <c r="I16" s="169"/>
      <c r="J16" s="169"/>
      <c r="K16" s="151"/>
      <c r="L16" s="61"/>
    </row>
    <row r="17" spans="1:12" ht="25.05" customHeight="1">
      <c r="A17" s="150" t="s">
        <v>58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51"/>
      <c r="L17" s="61"/>
    </row>
    <row r="18" spans="1:12" ht="24" customHeight="1">
      <c r="A18" s="150" t="s">
        <v>49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51"/>
      <c r="L18" s="61"/>
    </row>
    <row r="19" spans="1:12" ht="24" customHeight="1">
      <c r="A19" s="150" t="s">
        <v>50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51"/>
      <c r="L19" s="61"/>
    </row>
    <row r="20" spans="1:12" s="102" customFormat="1" ht="24" customHeight="1">
      <c r="A20" s="148"/>
      <c r="B20" s="167"/>
      <c r="C20" s="167"/>
      <c r="D20" s="167"/>
      <c r="E20" s="167"/>
      <c r="F20" s="167"/>
      <c r="G20" s="167"/>
      <c r="H20" s="167"/>
      <c r="I20" s="167"/>
      <c r="J20" s="167"/>
      <c r="K20" s="149"/>
      <c r="L20" s="101"/>
    </row>
    <row r="21" spans="1:12" s="52" customFormat="1" ht="25.05" customHeight="1">
      <c r="A21" s="153" t="s">
        <v>36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54"/>
      <c r="L21" s="51"/>
    </row>
    <row r="22" spans="1:12" s="52" customFormat="1" ht="25.05" customHeight="1">
      <c r="A22" s="155" t="s">
        <v>35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56"/>
      <c r="L22" s="59"/>
    </row>
    <row r="23" spans="1:12" s="52" customFormat="1" ht="22.95" customHeight="1">
      <c r="A23" s="155" t="s">
        <v>55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56"/>
    </row>
    <row r="24" spans="1:12" s="52" customFormat="1" ht="22.95" customHeight="1">
      <c r="A24" s="155" t="s">
        <v>59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56"/>
    </row>
    <row r="25" spans="1:12" s="52" customFormat="1" ht="22.95" customHeight="1">
      <c r="A25" s="155" t="s">
        <v>60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56"/>
    </row>
    <row r="26" spans="1:12" s="104" customFormat="1" ht="25.05" customHeight="1">
      <c r="A26" s="157"/>
      <c r="B26" s="172"/>
      <c r="C26" s="172"/>
      <c r="D26" s="172"/>
      <c r="E26" s="172"/>
      <c r="F26" s="172"/>
      <c r="G26" s="172"/>
      <c r="H26" s="172"/>
      <c r="I26" s="172"/>
      <c r="J26" s="172"/>
      <c r="K26" s="158"/>
      <c r="L26" s="103"/>
    </row>
    <row r="27" spans="1:12" ht="25.05" customHeight="1">
      <c r="A27" s="150" t="s">
        <v>42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9"/>
      <c r="L27" s="53"/>
    </row>
    <row r="28" spans="1:12" ht="25.05" customHeight="1">
      <c r="A28" s="150" t="s">
        <v>43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59"/>
      <c r="L28" s="53"/>
    </row>
    <row r="29" spans="1:12" s="102" customFormat="1" ht="25.05" customHeight="1">
      <c r="A29" s="148"/>
      <c r="B29" s="174"/>
      <c r="C29" s="174"/>
      <c r="D29" s="174"/>
      <c r="E29" s="174"/>
      <c r="F29" s="174"/>
      <c r="G29" s="174"/>
      <c r="H29" s="174"/>
      <c r="I29" s="174"/>
      <c r="J29" s="174"/>
      <c r="K29" s="160"/>
      <c r="L29" s="103"/>
    </row>
    <row r="30" spans="1:12" s="56" customFormat="1" ht="18.600000000000001" customHeight="1">
      <c r="A30" s="175" t="s">
        <v>44</v>
      </c>
      <c r="B30" s="176"/>
      <c r="C30" s="176"/>
      <c r="D30" s="176"/>
      <c r="E30" s="176"/>
      <c r="F30" s="174"/>
      <c r="G30" s="174"/>
      <c r="H30" s="174"/>
      <c r="I30" s="174"/>
      <c r="J30" s="174"/>
      <c r="K30" s="160"/>
      <c r="L30" s="57"/>
    </row>
    <row r="31" spans="1:12" ht="20.399999999999999" customHeight="1">
      <c r="A31" s="177" t="s">
        <v>65</v>
      </c>
      <c r="B31" s="178"/>
      <c r="C31" s="178"/>
      <c r="D31" s="178"/>
      <c r="E31" s="178"/>
      <c r="F31" s="161"/>
      <c r="G31" s="161"/>
      <c r="H31" s="161"/>
      <c r="I31" s="161"/>
      <c r="J31" s="161"/>
      <c r="K31" s="162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zoomScale="75" zoomScaleNormal="75" workbookViewId="0">
      <selection activeCell="D1" sqref="D1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10" ht="30" customHeight="1">
      <c r="A1" s="42" t="s">
        <v>0</v>
      </c>
      <c r="B1" s="54" t="s">
        <v>45</v>
      </c>
      <c r="C1" s="109"/>
      <c r="D1" s="65" t="s">
        <v>46</v>
      </c>
      <c r="E1" s="43" t="s">
        <v>1</v>
      </c>
      <c r="F1" s="54" t="s">
        <v>2</v>
      </c>
      <c r="G1" s="107"/>
      <c r="H1" s="37"/>
    </row>
    <row r="2" spans="1:10" ht="19.95" customHeight="1">
      <c r="A2" s="44" t="s">
        <v>31</v>
      </c>
      <c r="B2" s="55" t="s">
        <v>47</v>
      </c>
      <c r="C2" s="62" t="s">
        <v>51</v>
      </c>
      <c r="D2" s="64">
        <f>DATE(2024,6,3)</f>
        <v>43984</v>
      </c>
      <c r="E2" s="62" t="s">
        <v>3</v>
      </c>
      <c r="F2" s="55" t="s">
        <v>48</v>
      </c>
      <c r="G2" s="106"/>
      <c r="H2" s="63"/>
    </row>
    <row r="3" spans="1:10" ht="19.95" customHeight="1" thickBot="1">
      <c r="A3" s="44"/>
      <c r="B3" s="106"/>
      <c r="C3" s="62" t="s">
        <v>52</v>
      </c>
      <c r="D3" s="183">
        <f>D2+DAY(5)</f>
        <v>43990</v>
      </c>
      <c r="E3" s="45"/>
      <c r="F3" s="105"/>
      <c r="G3" s="105"/>
      <c r="H3" s="38"/>
    </row>
    <row r="4" spans="1:10" s="3" customFormat="1" ht="46.5" customHeight="1">
      <c r="A4" s="25" t="s">
        <v>4</v>
      </c>
      <c r="B4" s="26" t="s">
        <v>32</v>
      </c>
      <c r="C4" s="26" t="s">
        <v>57</v>
      </c>
      <c r="D4" s="28" t="s">
        <v>5</v>
      </c>
      <c r="E4" s="26" t="s">
        <v>6</v>
      </c>
      <c r="F4" s="27" t="s">
        <v>7</v>
      </c>
      <c r="G4" s="28" t="s">
        <v>53</v>
      </c>
      <c r="H4" s="29" t="s">
        <v>8</v>
      </c>
    </row>
    <row r="5" spans="1:10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8">
        <v>0</v>
      </c>
      <c r="D5" s="67"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8">
        <v>0</v>
      </c>
    </row>
    <row r="6" spans="1:10" ht="17.25" customHeight="1">
      <c r="A6" s="66">
        <f>D2</f>
        <v>43984</v>
      </c>
      <c r="B6" s="72" t="str">
        <f>IF(E6=0 / 24, "","(journée continue)")</f>
        <v/>
      </c>
      <c r="C6" s="108">
        <v>0</v>
      </c>
      <c r="D6" s="67">
        <v>0</v>
      </c>
      <c r="E6" s="48">
        <f>SUM(D7,E7)</f>
        <v>0</v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86"/>
      <c r="H6" s="179"/>
    </row>
    <row r="7" spans="1:10" ht="17.25" customHeight="1">
      <c r="A7" s="71">
        <f>IF(A6="", Deb, IF(A6&gt;DATE(YEAR(A6),3,20),IF(A6&lt;DATE(YEAR(A6),12,21),22 / 24,20 / 24),20 /24))</f>
        <v>0.91666666666666663</v>
      </c>
      <c r="B7" s="70" t="str">
        <f>IF(A6 &lt;&gt; "", IF(A5="DIMANCHE", "(majoration dimanche)", ""), "")</f>
        <v/>
      </c>
      <c r="C7" s="74">
        <f>IF(C6 = C5, (MOD(D6-D5,1)),0)</f>
        <v>0</v>
      </c>
      <c r="D7" s="68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87"/>
      <c r="H7" s="39">
        <f>IF((E5)&lt;12/24,0/24,(E5)-12/24)</f>
        <v>0</v>
      </c>
    </row>
    <row r="8" spans="1:10" ht="17.25" customHeight="1">
      <c r="A8" s="34" t="str">
        <f>CHOOSE(WEEKDAY(A6+1,2),"LUNDI","MARDI","MERCREDI","JEUDI","VENDREDI","SAMEDI","DIMANCHE")</f>
        <v>MARDI</v>
      </c>
      <c r="B8" s="87" t="str">
        <f>IF(OR(C8&lt;&gt;0, C9 &lt;&gt;0,), IF(MOD(C9-C8, 1) &lt; 0.041, "(pause réduite)", ""), "")</f>
        <v/>
      </c>
      <c r="C8" s="108">
        <v>0</v>
      </c>
      <c r="D8" s="67"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8">
        <v>0</v>
      </c>
      <c r="I8" s="189"/>
      <c r="J8" s="193"/>
    </row>
    <row r="9" spans="1:10" ht="17.25" customHeight="1">
      <c r="A9" s="66">
        <f>IF(AND(DATE(YEAR(D2),MONTH(D2),DAY(D2))&lt;DATE(YEAR(D3),MONTH(D3),DAY(D3)), A6&lt;&gt;""),DATE(YEAR(D2),MONTH(D2),DAY(D2)+1),"")</f>
        <v>43985</v>
      </c>
      <c r="B9" s="15" t="str">
        <f>IF(E9=0 / 24, "","(journée continue)")</f>
        <v/>
      </c>
      <c r="C9" s="108">
        <v>0</v>
      </c>
      <c r="D9" s="67">
        <v>0</v>
      </c>
      <c r="E9" s="48">
        <f>SUM(D10,E10)</f>
        <v>0</v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86"/>
      <c r="H9" s="180"/>
    </row>
    <row r="10" spans="1:10" ht="17.25" customHeight="1">
      <c r="A10" s="71">
        <f>IF(A9="", Deb, IF(A9&gt;DATE(YEAR(A9),3,20),IF(A9&lt;DATE(YEAR(A9),12,21),22 / 24,20 / 24),20 /24))</f>
        <v>0.91666666666666663</v>
      </c>
      <c r="B10" s="70" t="str">
        <f>IF(A9 &lt;&gt; "", IF(A8="DIMANCHE", "(majoration dimanche)", ""), "")</f>
        <v/>
      </c>
      <c r="C10" s="74">
        <f>IF(C9 = C8, (MOD(D9-D8,1)),0)</f>
        <v>0</v>
      </c>
      <c r="D10" s="68">
        <f>IF(C8=0 / 24,0,IF((MOD(C8-D8,1))&lt;6 / 24,0,0.5 / 24))</f>
        <v>0</v>
      </c>
      <c r="E10" s="74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87"/>
      <c r="H10" s="39">
        <f>IF((E8)&lt;12/24,0/24,(E8)-12/24)</f>
        <v>0</v>
      </c>
    </row>
    <row r="11" spans="1:10" ht="17.25" customHeight="1">
      <c r="A11" s="34" t="str">
        <f>CHOOSE(WEEKDAY(A6+2,2),"LUNDI","MARDI","MERCREDI","JEUDI","VENDREDI","SAMEDI","DIMANCHE")</f>
        <v>MERCREDI</v>
      </c>
      <c r="B11" s="87" t="str">
        <f>IF(OR(C11&lt;&gt;0, C12 &lt;&gt;0,), IF(MOD(C12-C11, 1) &lt; 0.041, "(pause réduite)", ""), "")</f>
        <v/>
      </c>
      <c r="C11" s="108">
        <v>0</v>
      </c>
      <c r="D11" s="67"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88">
        <f>IF(AND(D8=0, D9=0), 0/24, (IF(D11=0/24,0/24,IF((MOD(D11-D9,1))&gt;=11/24,0/24,11/24-(MOD(D11-D9,1))))))</f>
        <v>0</v>
      </c>
      <c r="H11" s="58">
        <v>0</v>
      </c>
    </row>
    <row r="12" spans="1:10" ht="17.25" customHeight="1">
      <c r="A12" s="66">
        <f>IF(AND(DATE(YEAR(A9),MONTH(A9),DAY(A9))&lt;DATE(YEAR(D3),MONTH(D3),DAY(D3)), A9&lt;&gt;""),DATE(YEAR(D2),MONTH(D2),DAY(D2)+2), "")</f>
        <v>43986</v>
      </c>
      <c r="B12" s="15" t="str">
        <f>IF(E12=0 / 24, "","(journée continue)")</f>
        <v/>
      </c>
      <c r="C12" s="108">
        <v>0</v>
      </c>
      <c r="D12" s="69">
        <v>0</v>
      </c>
      <c r="E12" s="48">
        <f>SUM(D13,E13)</f>
        <v>0</v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7"/>
      <c r="H12" s="181"/>
    </row>
    <row r="13" spans="1:10" ht="17.25" customHeight="1">
      <c r="A13" s="71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4">
        <f>IF(C12 = C11, (MOD(D12-D11,1)),0)</f>
        <v>0</v>
      </c>
      <c r="D13" s="68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87"/>
      <c r="H13" s="39">
        <f>IF((E11)&lt;12/24,0/24,(E11)-12/24)</f>
        <v>0</v>
      </c>
    </row>
    <row r="14" spans="1:10" ht="16.95" customHeight="1">
      <c r="A14" s="34" t="str">
        <f>CHOOSE(WEEKDAY(A6+3,2),"LUNDI","MARDI","MERCREDI","JEUDI","VENDREDI","SAMEDI","DIMANCHE")</f>
        <v>JEUDI</v>
      </c>
      <c r="B14" s="87" t="str">
        <f>IF(OR(C14&lt;&gt;0, C15 &lt;&gt;0,), IF(MOD(C15-C14, 1) &lt; 0.041, "(pause réduite)", ""), "")</f>
        <v/>
      </c>
      <c r="C14" s="108">
        <v>0</v>
      </c>
      <c r="D14" s="67"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8">
        <v>0</v>
      </c>
    </row>
    <row r="15" spans="1:10" ht="17.25" customHeight="1">
      <c r="A15" s="66">
        <f>IF(A12&lt;&gt; "", (IF(DATE(YEAR(A12),MONTH(A12),DAY(A12))&lt;DATE(YEAR(D3),MONTH(D3),DAY(D3)),DATE(YEAR(D2),MONTH(D2),(DAY(D2)+3)), "")), "")</f>
        <v>43987</v>
      </c>
      <c r="B15" s="15" t="str">
        <f>IF(E15=0 / 24, "","(journée continue)")</f>
        <v/>
      </c>
      <c r="C15" s="108">
        <v>0</v>
      </c>
      <c r="D15" s="67">
        <v>0</v>
      </c>
      <c r="E15" s="48">
        <f>SUM(D16,E16)</f>
        <v>0</v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86"/>
      <c r="H15" s="180"/>
    </row>
    <row r="16" spans="1:10" ht="17.25" customHeight="1">
      <c r="A16" s="71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4">
        <f>IF(C14 = C15, (MOD(D15-D14,1)),0)</f>
        <v>0</v>
      </c>
      <c r="D16" s="68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187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7" t="str">
        <f>IF(OR(C17&lt;&gt;0, C18 &lt;&gt;0,), IF(MOD(C18-C17, 1) &lt; 0.041, "(pause réduite)", ""), "")</f>
        <v/>
      </c>
      <c r="C17" s="108">
        <v>0</v>
      </c>
      <c r="D17" s="67"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 11/24,0/24,11/24-(MOD(D17-D15,1))))))</f>
        <v>0</v>
      </c>
      <c r="H17" s="58">
        <v>0</v>
      </c>
    </row>
    <row r="18" spans="1:8" ht="17.25" customHeight="1">
      <c r="A18" s="66">
        <f>IF(A15&lt;&gt; "", (IF(DATE(YEAR(A15),MONTH(A15),DAY(A15))&lt;DATE(YEAR(D3),MONTH(D3),DAY(D3)),DATE(YEAR(D2),MONTH(D2),(DAY(D2)+4)), "")), "")</f>
        <v>43988</v>
      </c>
      <c r="B18" s="15" t="str">
        <f>IF(E18=0 / 24, "","(journée continue)")</f>
        <v/>
      </c>
      <c r="C18" s="108">
        <v>0</v>
      </c>
      <c r="D18" s="69">
        <v>0</v>
      </c>
      <c r="E18" s="48">
        <f>SUM(D19,E19)</f>
        <v>0</v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86"/>
      <c r="H18" s="180"/>
    </row>
    <row r="19" spans="1:8" ht="17.25" customHeight="1">
      <c r="A19" s="71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4">
        <f>IF(C17 = C18, (MOD(D18-D17,1)),0)</f>
        <v>0</v>
      </c>
      <c r="D19" s="68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187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7" t="str">
        <f>IF(OR(C21&lt;&gt;0, C22 &lt;&gt;0,), IF(MOD(C21-C20, 1) &lt; 0.041, "(pause réduite)", ""), "")</f>
        <v/>
      </c>
      <c r="C20" s="108">
        <v>0</v>
      </c>
      <c r="D20" s="67"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 11/24,0/24,11/24-(MOD(D20-D18,1))))))</f>
        <v>0</v>
      </c>
      <c r="H20" s="58">
        <v>0</v>
      </c>
    </row>
    <row r="21" spans="1:8" ht="17.25" customHeight="1">
      <c r="A21" s="66">
        <f>IF(A18&lt;&gt; "", (IF(DATE(YEAR(A18),MONTH(A18),DAY(A18))&lt;DATE(YEAR(D3),MONTH(D3),DAY(D3)),DATE(YEAR(D2),MONTH(D2),(DAY(D2)+5)), "")), "")</f>
        <v>43989</v>
      </c>
      <c r="B21" s="15" t="str">
        <f>IF(E21=0 / 24, "","(journée continue)")</f>
        <v/>
      </c>
      <c r="C21" s="108">
        <v>0</v>
      </c>
      <c r="D21" s="67">
        <v>0</v>
      </c>
      <c r="E21" s="48">
        <f>SUM(D22,E22)</f>
        <v>0</v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86"/>
      <c r="H21" s="182"/>
    </row>
    <row r="22" spans="1:8" ht="17.25" customHeight="1">
      <c r="A22" s="71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4">
        <f>IF(C20 = C21, (MOD(D21-D20,1)),0)</f>
        <v>0</v>
      </c>
      <c r="D22" s="68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7" t="str">
        <f>IF(OR(C24&lt;&gt;0, C25 &lt;&gt;0,), IF(MOD(C24-C23, 1) &lt; 0.041, "(pause réduite)", ""), "")</f>
        <v/>
      </c>
      <c r="C23" s="108">
        <v>0</v>
      </c>
      <c r="D23" s="67"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8">
        <v>0</v>
      </c>
    </row>
    <row r="24" spans="1:8" ht="17.25" customHeight="1">
      <c r="A24" s="66">
        <f>IF(A21&lt;&gt; "", (IF(DATE(YEAR(A21),MONTH(A21),DAY(A21))&lt;DATE(YEAR(D3),MONTH(D3),DAY(D3)),DATE(YEAR(D2),MONTH(D2),(DAY(D2)+6)), "")), "")</f>
        <v>43990</v>
      </c>
      <c r="B24" s="15" t="str">
        <f>IF(E24=0 / 24, "","(journée continue)")</f>
        <v/>
      </c>
      <c r="C24" s="108">
        <v>0</v>
      </c>
      <c r="D24" s="67">
        <v>0</v>
      </c>
      <c r="E24" s="48">
        <f>SUM(D25,E25)</f>
        <v>0</v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82"/>
    </row>
    <row r="25" spans="1:8" ht="17.25" customHeight="1">
      <c r="A25" s="71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4">
        <f>IF(C23 = C24, (MOD(D24-D23,1)),0)</f>
        <v>0</v>
      </c>
      <c r="D25" s="68">
        <f>IF(C23=0 / 24,0,IF((MOD(C23-D23,1))&lt;6 / 24,0,0.5 / 24))</f>
        <v>0</v>
      </c>
      <c r="E25" s="40">
        <f>IF(C25&gt;=(6 / 24),0.5 / 24,(IF(C24 = C23, IF(MOD(D24-D23, 1) &lt;6/24, 0, 0.5/24), IF((MOD(D24-C24,1))&lt;6/24,0,0.5/24))))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64"/>
      <c r="C26" s="130"/>
      <c r="D26" s="131" t="s">
        <v>9</v>
      </c>
      <c r="E26" s="132">
        <f>SUM(E5,E8,E11,E14,E17,E20,E23)</f>
        <v>0</v>
      </c>
      <c r="F26" s="132">
        <f>SUM(F5,F6,F8,F9,F11,F12,F14,F15,F17,F18,F20,F21,F23,F24)</f>
        <v>0</v>
      </c>
      <c r="G26" s="133">
        <f>SUM(G5,G8,G11,G14,G17,G20,G23)</f>
        <v>0</v>
      </c>
      <c r="H26" s="134">
        <f>SUM(H23,H24,H21,H20,H18,H17,H15,H14,H12,H11,H9,H8,H6,H5,)</f>
        <v>0</v>
      </c>
    </row>
    <row r="27" spans="1:8" s="3" customFormat="1" ht="12.6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5">
        <f>IF(A6 = "", Fin, IF(A6&gt;DATE(YEAR(A6),3,20),IF(A6&lt;DATE(YEAR(A6),12,21),7 / 24,6 / 24),6 /24))</f>
        <v>0.29166666666666669</v>
      </c>
      <c r="B28" s="6"/>
      <c r="C28" s="6"/>
      <c r="D28" s="79" t="s">
        <v>10</v>
      </c>
      <c r="E28" s="30"/>
      <c r="F28" s="31" t="s">
        <v>11</v>
      </c>
      <c r="G28" s="31"/>
      <c r="H28" s="113"/>
    </row>
    <row r="29" spans="1:8" ht="17.25" customHeight="1">
      <c r="A29" s="135">
        <f>IF(A9= "", Fin, IF(A9&gt;DATE(YEAR(A9),3,20),IF(A9&lt;DATE(YEAR(A9),12,21),7 / 24,6 / 24),6 /24))</f>
        <v>0.29166666666666669</v>
      </c>
      <c r="B29" s="185"/>
      <c r="C29" s="6"/>
      <c r="D29" s="80" t="s">
        <v>56</v>
      </c>
      <c r="E29" s="17"/>
      <c r="F29" s="190">
        <v>1106.6024775915801</v>
      </c>
      <c r="G29" s="18"/>
      <c r="H29" s="114"/>
    </row>
    <row r="30" spans="1:8" ht="17.25" customHeight="1" thickBot="1">
      <c r="A30" s="135">
        <f>IF(A12 = "", Fin, IF(A12&gt;DATE(YEAR(A12),3,20),IF(A12&lt;DATE(YEAR(A12),12,21),7 / 24,6 / 24),6 /24))</f>
        <v>0.29166666666666669</v>
      </c>
      <c r="B30" s="6"/>
      <c r="C30" s="6"/>
      <c r="D30" s="98" t="s">
        <v>12</v>
      </c>
      <c r="E30" s="99"/>
      <c r="F30" s="191">
        <f>+F29/35</f>
        <v>31.617213645473715</v>
      </c>
      <c r="G30" s="100"/>
      <c r="H30" s="115"/>
    </row>
    <row r="31" spans="1:8" s="3" customFormat="1" ht="17.25" customHeight="1">
      <c r="A31" s="136">
        <f>IF(A15 = "", Fin, IF(A15&gt;DATE(YEAR(A15),3,20),IF(A15&lt;DATE(YEAR(A15),12,21),7 / 24,6 / 24),6 /24))</f>
        <v>0.29166666666666669</v>
      </c>
      <c r="B31" s="9"/>
      <c r="C31" s="10"/>
      <c r="D31" s="81" t="s">
        <v>13</v>
      </c>
      <c r="E31" s="19">
        <f>IF(E26&gt;35 / 24,35 / 24,E26)</f>
        <v>0</v>
      </c>
      <c r="F31" s="88">
        <f>(F30*E31)*24</f>
        <v>0</v>
      </c>
      <c r="G31" s="88"/>
      <c r="H31" s="116"/>
    </row>
    <row r="32" spans="1:8" s="3" customFormat="1" ht="17.25" customHeight="1">
      <c r="A32" s="136">
        <f>IF(A18 = "", Fin, IF(A18&gt;DATE(YEAR(A18),3,20),IF(A18&lt;DATE(YEAR(A18),12,21),7 / 24,6 / 24),6 /24))</f>
        <v>0.29166666666666669</v>
      </c>
      <c r="B32" s="9"/>
      <c r="C32" s="32" t="s">
        <v>14</v>
      </c>
      <c r="D32" s="82" t="s">
        <v>15</v>
      </c>
      <c r="E32" s="20">
        <f>IF(E26&gt;35 / 24,IF(E26&lt;43 / 24,E26-35 / 24,8 / 24),0 / 24)</f>
        <v>0</v>
      </c>
      <c r="F32" s="89">
        <f>((F30*E32)*24)*1.25</f>
        <v>0</v>
      </c>
      <c r="G32" s="89"/>
      <c r="H32" s="117"/>
    </row>
    <row r="33" spans="1:8" s="3" customFormat="1" ht="17.25" customHeight="1">
      <c r="A33" s="136">
        <f>IF(A21 = "", Fin, IF(A21&gt;DATE(YEAR(A21),3,20),IF(A21&lt;DATE(YEAR(A21),12,21),7 / 24,6 / 24),6 /24))</f>
        <v>0.29166666666666669</v>
      </c>
      <c r="B33" s="9"/>
      <c r="C33" s="33" t="s">
        <v>16</v>
      </c>
      <c r="D33" s="83" t="s">
        <v>17</v>
      </c>
      <c r="E33" s="21">
        <f>IF(E26&gt;47 / 24,4 / 24,IF(E26&gt;43 / 24,E26-43 / 24,0 / 24))</f>
        <v>0</v>
      </c>
      <c r="F33" s="90">
        <f>((F30*E33)*24)*1.5</f>
        <v>0</v>
      </c>
      <c r="G33" s="90"/>
      <c r="H33" s="118"/>
    </row>
    <row r="34" spans="1:8" s="3" customFormat="1" ht="17.25" customHeight="1">
      <c r="A34" s="137">
        <f>IF(A24 = "", Fin, IF(A24&gt;DATE(YEAR(A24),3,20),IF(A24&lt;DATE(YEAR(A24),12,21),7 / 24,6 / 24),6 /24))</f>
        <v>0.29166666666666669</v>
      </c>
      <c r="B34" s="9"/>
      <c r="C34" s="32" t="s">
        <v>29</v>
      </c>
      <c r="D34" s="82" t="s">
        <v>17</v>
      </c>
      <c r="E34" s="20">
        <f>IF(E26&gt;47 / 24,E26- 47 / 24,0 /24)</f>
        <v>0</v>
      </c>
      <c r="F34" s="89">
        <f>((F30*E34)*24)*1.5</f>
        <v>0</v>
      </c>
      <c r="G34" s="89"/>
      <c r="H34" s="117"/>
    </row>
    <row r="35" spans="1:8" s="3" customFormat="1" ht="17.25" customHeight="1" thickBot="1">
      <c r="A35" s="8"/>
      <c r="B35" s="46"/>
      <c r="C35" s="11"/>
      <c r="D35" s="84" t="s">
        <v>18</v>
      </c>
      <c r="E35" s="22">
        <f>G25</f>
        <v>0</v>
      </c>
      <c r="F35" s="91">
        <f>(F30*E35)*24</f>
        <v>0</v>
      </c>
      <c r="G35" s="91"/>
      <c r="H35" s="119"/>
    </row>
    <row r="36" spans="1:8" s="3" customFormat="1" ht="17.25" customHeight="1">
      <c r="A36" s="8"/>
      <c r="B36" s="75" t="s">
        <v>19</v>
      </c>
      <c r="C36" s="41"/>
      <c r="D36" s="85" t="s">
        <v>20</v>
      </c>
      <c r="E36" s="23">
        <f>F26</f>
        <v>0</v>
      </c>
      <c r="F36" s="92">
        <f>((F30*E36)*24)*0.25</f>
        <v>0</v>
      </c>
      <c r="G36" s="92"/>
      <c r="H36" s="120"/>
    </row>
    <row r="37" spans="1:8" s="3" customFormat="1" ht="17.25" customHeight="1">
      <c r="A37" s="8"/>
      <c r="B37" s="76">
        <f>IF(D2&gt;DATE(YEAR(D2),3,20),IF(D2&lt;DATE(YEAR(D2),12,21),22/24,20/24),20/24)</f>
        <v>0.91666666666666663</v>
      </c>
      <c r="C37" s="13"/>
      <c r="D37" s="86" t="s">
        <v>21</v>
      </c>
      <c r="E37" s="24">
        <f>G26</f>
        <v>0</v>
      </c>
      <c r="F37" s="93">
        <f>((F30*E37)*24)*0.5</f>
        <v>0</v>
      </c>
      <c r="G37" s="93"/>
      <c r="H37" s="121"/>
    </row>
    <row r="38" spans="1:8" s="3" customFormat="1" ht="17.25" customHeight="1">
      <c r="A38" s="8"/>
      <c r="B38" s="77" t="s">
        <v>22</v>
      </c>
      <c r="C38" s="12"/>
      <c r="D38" s="85" t="s">
        <v>54</v>
      </c>
      <c r="E38" s="23">
        <f>H26</f>
        <v>0</v>
      </c>
      <c r="F38" s="92">
        <f>(F30*E38)*24</f>
        <v>0</v>
      </c>
      <c r="G38" s="92"/>
      <c r="H38" s="120"/>
    </row>
    <row r="39" spans="1:8" s="3" customFormat="1" ht="17.25" customHeight="1" thickBot="1">
      <c r="A39" s="126"/>
      <c r="B39" s="78">
        <f>IF(D2&gt;DATE(YEAR(D2),3,20),IF(D2&lt;DATE(YEAR(D2),12,21),7 / 24,6 / 24),6 /24)</f>
        <v>0.29166666666666669</v>
      </c>
      <c r="C39" s="13"/>
      <c r="D39" s="86" t="s">
        <v>23</v>
      </c>
      <c r="E39" s="24">
        <f>SUM(E21,E18,E15,E12,E9,E6, E24)</f>
        <v>0</v>
      </c>
      <c r="F39" s="93">
        <f>(F30*E39)*24</f>
        <v>0</v>
      </c>
      <c r="G39" s="93"/>
      <c r="H39" s="121"/>
    </row>
    <row r="40" spans="1:8" ht="17.25" customHeight="1">
      <c r="A40" s="36" t="s">
        <v>24</v>
      </c>
      <c r="B40" s="6"/>
      <c r="C40" s="41"/>
      <c r="D40" s="85" t="s">
        <v>25</v>
      </c>
      <c r="E40" s="23">
        <v>0</v>
      </c>
      <c r="F40" s="92">
        <f>(F30*E40)*24</f>
        <v>0</v>
      </c>
      <c r="G40" s="92"/>
      <c r="H40" s="120"/>
    </row>
    <row r="41" spans="1:8" ht="16.2" thickBot="1">
      <c r="A41" s="129" t="s">
        <v>26</v>
      </c>
      <c r="B41" s="127"/>
      <c r="C41" s="112"/>
      <c r="D41" s="122" t="s">
        <v>33</v>
      </c>
      <c r="E41" s="123">
        <f>IF(B7&lt;&gt;"",E5,IF(B10&lt;&gt;"",E8,IF(B13&lt;&gt;"",E11,IF(B16&lt;&gt;"",E14,IF(B19&lt;&gt;"",E17,IF(B22&lt;&gt;"",E20, IF(B25&lt;&gt;"",E23, 0)))))))</f>
        <v>0</v>
      </c>
      <c r="F41" s="93">
        <f>((F30*E41)*24)*0.5</f>
        <v>0</v>
      </c>
      <c r="G41" s="124"/>
      <c r="H41" s="125"/>
    </row>
    <row r="42" spans="1:8" ht="16.2" thickBot="1">
      <c r="A42" s="184"/>
      <c r="B42" s="165">
        <f>COUNTIF(E5,"&lt;&gt;0" )+COUNTIF(E8,"&lt;&gt;0")+COUNTIF(E11,"&lt;&gt;0")+COUNTIF(E14,"&lt;&gt;0")+COUNTIF(E17,"&lt;&gt;0")+COUNTIF(E20,"&lt;&gt;0")+COUNTIF(E23,"&lt;&gt;0")</f>
        <v>0</v>
      </c>
      <c r="C42" s="163" t="s">
        <v>61</v>
      </c>
      <c r="D42" s="94" t="s">
        <v>27</v>
      </c>
      <c r="E42" s="95">
        <f>IF(B42&gt;=5,IF(E26=0/24,0/24,IF(E26&lt;35/24,35/24,E26)),E26)</f>
        <v>0</v>
      </c>
      <c r="F42" s="192">
        <f>IF(E42=0/24,0,IF(E42&lt;35/24,SUM(F31:F41),IF(E42&gt;35/24,SUM(F31:F41),F29+SUM(F35:F41))))</f>
        <v>0</v>
      </c>
      <c r="G42" s="96"/>
      <c r="H42" s="97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F2" sqref="F2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8" ht="30" customHeight="1">
      <c r="A1" s="42" t="s">
        <v>0</v>
      </c>
      <c r="B1" s="54" t="str">
        <f>'1er Ass OPV'!B1</f>
        <v>"Production"</v>
      </c>
      <c r="C1" s="109"/>
      <c r="D1" s="65" t="str">
        <f>'1er Ass OPV'!D1</f>
        <v>Semaine N°</v>
      </c>
      <c r="E1" s="43" t="s">
        <v>1</v>
      </c>
      <c r="F1" s="54" t="str">
        <f>'1er Ass OPV'!F1</f>
        <v>Caméra</v>
      </c>
      <c r="G1" s="107"/>
      <c r="H1" s="37"/>
    </row>
    <row r="2" spans="1:8" ht="19.95" customHeight="1">
      <c r="A2" s="44" t="s">
        <v>31</v>
      </c>
      <c r="B2" s="55" t="str">
        <f>'1er Ass OPV'!B2</f>
        <v>"Film"</v>
      </c>
      <c r="C2" s="62" t="s">
        <v>51</v>
      </c>
      <c r="D2" s="64">
        <f>'1er Ass OPV'!D2</f>
        <v>43984</v>
      </c>
      <c r="E2" s="62" t="s">
        <v>3</v>
      </c>
      <c r="F2" s="55" t="s">
        <v>48</v>
      </c>
      <c r="G2" s="106"/>
      <c r="H2" s="63"/>
    </row>
    <row r="3" spans="1:8" ht="19.95" customHeight="1" thickBot="1">
      <c r="A3" s="44"/>
      <c r="B3" s="106"/>
      <c r="C3" s="62" t="s">
        <v>52</v>
      </c>
      <c r="D3" s="183">
        <f>D2+DAY(5)</f>
        <v>43990</v>
      </c>
      <c r="E3" s="45"/>
      <c r="F3" s="105"/>
      <c r="G3" s="105"/>
      <c r="H3" s="38"/>
    </row>
    <row r="4" spans="1:8" s="3" customFormat="1" ht="46.5" customHeight="1">
      <c r="A4" s="25" t="s">
        <v>4</v>
      </c>
      <c r="B4" s="26" t="s">
        <v>32</v>
      </c>
      <c r="C4" s="26" t="s">
        <v>57</v>
      </c>
      <c r="D4" s="28" t="s">
        <v>5</v>
      </c>
      <c r="E4" s="26" t="s">
        <v>6</v>
      </c>
      <c r="F4" s="27" t="s">
        <v>7</v>
      </c>
      <c r="G4" s="28" t="s">
        <v>53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8">
        <f>'1er Ass OPV'!C5</f>
        <v>0</v>
      </c>
      <c r="D5" s="67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8">
        <f>'1er Ass OPV'!H5</f>
        <v>0</v>
      </c>
    </row>
    <row r="6" spans="1:8" ht="17.25" customHeight="1">
      <c r="A6" s="66">
        <f>D2</f>
        <v>43984</v>
      </c>
      <c r="B6" s="72" t="str">
        <f>IF(E6=0 / 24, "","(journée continue)")</f>
        <v/>
      </c>
      <c r="C6" s="108">
        <f>'1er Ass OPV'!C6</f>
        <v>0</v>
      </c>
      <c r="D6" s="67">
        <f>'1er Ass OPV'!D6</f>
        <v>0</v>
      </c>
      <c r="E6" s="48">
        <f>SUM(D7,E7)</f>
        <v>0</v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9"/>
    </row>
    <row r="7" spans="1:8" ht="17.25" customHeight="1">
      <c r="A7" s="71">
        <f>IF(A6="", Deb, IF(A6&gt;DATE(YEAR(A6),3,20),IF(A6&lt;DATE(YEAR(A6),12,21),22 / 24,20 / 24),20 /24))</f>
        <v>0.91666666666666663</v>
      </c>
      <c r="B7" s="70" t="str">
        <f>IF(A6 &lt;&gt; "", IF(A5="DIMANCHE", "(majoration dimanche)", ""), "")</f>
        <v/>
      </c>
      <c r="C7" s="74">
        <f>IF(C6 = C5, (MOD(D6-D5,1)),0)</f>
        <v>0</v>
      </c>
      <c r="D7" s="68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10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7" t="str">
        <f>IF(OR(C8&lt;&gt;0, C9 &lt;&gt;0,), IF(MOD(C9-C8, 1) &lt; 0.041, "(pause réduite)", ""), "")</f>
        <v/>
      </c>
      <c r="C8" s="108">
        <f>'1er Ass OPV'!C8</f>
        <v>0</v>
      </c>
      <c r="D8" s="67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8">
        <f>'1er Ass OPV'!H8</f>
        <v>0</v>
      </c>
    </row>
    <row r="9" spans="1:8" ht="17.25" customHeight="1">
      <c r="A9" s="66">
        <f>IF(AND(DATE(YEAR(D2),MONTH(D2),DAY(D2))&lt;DATE(YEAR(D3),MONTH(D3),DAY(D3)), A6&lt;&gt;""),DATE(YEAR(D2),MONTH(D2),DAY(D2)+1),"")</f>
        <v>43985</v>
      </c>
      <c r="B9" s="15" t="str">
        <f>IF(E9=0 / 24, "","(journée continue)")</f>
        <v/>
      </c>
      <c r="C9" s="108">
        <f>'1er Ass OPV'!C9</f>
        <v>0</v>
      </c>
      <c r="D9" s="67">
        <f>'1er Ass OPV'!D9</f>
        <v>0</v>
      </c>
      <c r="E9" s="48">
        <f>SUM(D10,E10)</f>
        <v>0</v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80"/>
    </row>
    <row r="10" spans="1:8" ht="17.25" customHeight="1">
      <c r="A10" s="71">
        <f>IF(A9="", Deb, IF(A9&gt;DATE(YEAR(A9),3,20),IF(A9&lt;DATE(YEAR(A9),12,21),22 / 24,20 / 24),20 /24))</f>
        <v>0.91666666666666663</v>
      </c>
      <c r="B10" s="70" t="str">
        <f>IF(A9 &lt;&gt; "", IF(A8="DIMANCHE", "(majoration dimanche)", ""), "")</f>
        <v/>
      </c>
      <c r="C10" s="74">
        <f>IF(C9 = C8, (MOD(D9-D8,1)),0)</f>
        <v>0</v>
      </c>
      <c r="D10" s="68">
        <f>IF(C8=0 / 24,0,IF((MOD(C8-D8,1))&lt;6 / 24,0,0.5 / 24))</f>
        <v>0</v>
      </c>
      <c r="E10" s="74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10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7" t="str">
        <f>IF(OR(C11&lt;&gt;0, C12 &lt;&gt;0,), IF(MOD(C12-C11, 1) &lt; 0.041, "(pause réduite)", ""), "")</f>
        <v/>
      </c>
      <c r="C11" s="108">
        <f>'1er Ass OPV'!C11</f>
        <v>0</v>
      </c>
      <c r="D11" s="67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8">
        <f>'1er Ass OPV'!H11</f>
        <v>0</v>
      </c>
    </row>
    <row r="12" spans="1:8" ht="17.25" customHeight="1">
      <c r="A12" s="66">
        <f>IF(AND(DATE(YEAR(A9),MONTH(A9),DAY(A9))&lt;DATE(YEAR(D3),MONTH(D3),DAY(D3)), A9&lt;&gt;""),DATE(YEAR(D2),MONTH(D2),DAY(D2)+2), "")</f>
        <v>43986</v>
      </c>
      <c r="B12" s="15" t="str">
        <f>IF(E12=0 / 24, "","(journée continue)")</f>
        <v/>
      </c>
      <c r="C12" s="108">
        <f>'1er Ass OPV'!C12</f>
        <v>0</v>
      </c>
      <c r="D12" s="67">
        <f>'1er Ass OPV'!D12</f>
        <v>0</v>
      </c>
      <c r="E12" s="48">
        <f>SUM(D13,E13)</f>
        <v>0</v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81"/>
    </row>
    <row r="13" spans="1:8" ht="17.25" customHeight="1">
      <c r="A13" s="71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4">
        <f>IF(C12 = C11, (MOD(D12-D11,1)),0)</f>
        <v>0</v>
      </c>
      <c r="D13" s="68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11"/>
      <c r="H13" s="39">
        <f>IF((E11)&lt;12/24,0/24,(E11)-12/24)</f>
        <v>0</v>
      </c>
    </row>
    <row r="14" spans="1:8" ht="16.95" customHeight="1">
      <c r="A14" s="34" t="str">
        <f>CHOOSE(WEEKDAY(A6+3,2),"LUNDI","MARDI","MERCREDI","JEUDI","VENDREDI","SAMEDI","DIMANCHE")</f>
        <v>JEUDI</v>
      </c>
      <c r="B14" s="87" t="str">
        <f>IF(OR(C14&lt;&gt;0, C15 &lt;&gt;0,), IF(MOD(C15-C14, 1) &lt; 0.041, "(pause réduite)", ""), "")</f>
        <v/>
      </c>
      <c r="C14" s="108">
        <f>'1er Ass OPV'!C14</f>
        <v>0</v>
      </c>
      <c r="D14" s="67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8">
        <f>'1er Ass OPV'!H14</f>
        <v>0</v>
      </c>
    </row>
    <row r="15" spans="1:8" ht="17.25" customHeight="1">
      <c r="A15" s="66">
        <f>IF(A12&lt;&gt; "", (IF(DATE(YEAR(A12),MONTH(A12),DAY(A12))&lt;DATE(YEAR(D3),MONTH(D3),DAY(D3)),DATE(YEAR(D2),MONTH(D2),(DAY(D2)+3)), "")), "")</f>
        <v>43987</v>
      </c>
      <c r="B15" s="15" t="str">
        <f>IF(E15=0 / 24, "","(journée continue)")</f>
        <v/>
      </c>
      <c r="C15" s="108">
        <f>'1er Ass OPV'!C15</f>
        <v>0</v>
      </c>
      <c r="D15" s="67">
        <f>'1er Ass OPV'!D15</f>
        <v>0</v>
      </c>
      <c r="E15" s="48">
        <f>SUM(D16,E16)</f>
        <v>0</v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80"/>
    </row>
    <row r="16" spans="1:8" ht="17.25" customHeight="1">
      <c r="A16" s="71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4">
        <f>IF(C14 = C15, (MOD(D15-D14,1)),0)</f>
        <v>0</v>
      </c>
      <c r="D16" s="68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7" t="str">
        <f>IF(OR(C17&lt;&gt;0, C18 &lt;&gt;0,), IF(MOD(C18-C17, 1) &lt; 0.041, "(pause réduite)", ""), "")</f>
        <v/>
      </c>
      <c r="C17" s="108">
        <f>'1er Ass OPV'!C17</f>
        <v>0</v>
      </c>
      <c r="D17" s="67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8">
        <f>'1er Ass OPV'!H17</f>
        <v>0</v>
      </c>
    </row>
    <row r="18" spans="1:8" ht="17.25" customHeight="1">
      <c r="A18" s="66">
        <f>IF(A15&lt;&gt; "", (IF(DATE(YEAR(A15),MONTH(A15),DAY(A15))&lt;DATE(YEAR(D3),MONTH(D3),DAY(D3)),DATE(YEAR(D2),MONTH(D2),(DAY(D2)+4)), "")), "")</f>
        <v>43988</v>
      </c>
      <c r="B18" s="15" t="str">
        <f>IF(E18=0 / 24, "","(journée continue)")</f>
        <v/>
      </c>
      <c r="C18" s="108">
        <f>'1er Ass OPV'!C18</f>
        <v>0</v>
      </c>
      <c r="D18" s="67">
        <f>'1er Ass OPV'!D18</f>
        <v>0</v>
      </c>
      <c r="E18" s="48">
        <f>SUM(D19,E19)</f>
        <v>0</v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80"/>
    </row>
    <row r="19" spans="1:8" ht="17.25" customHeight="1">
      <c r="A19" s="71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4">
        <f>IF(C17 = C18, (MOD(D18-D17,1)),0)</f>
        <v>0</v>
      </c>
      <c r="D19" s="68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3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7" t="str">
        <f>IF(OR(C21&lt;&gt;0, C22 &lt;&gt;0,), IF(MOD(C21-C20, 1) &lt; 0.041, "(pause réduite)", ""), "")</f>
        <v/>
      </c>
      <c r="C20" s="108">
        <f>'1er Ass OPV'!C20</f>
        <v>0</v>
      </c>
      <c r="D20" s="67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8">
        <f>'1er Ass OPV'!H20</f>
        <v>0</v>
      </c>
    </row>
    <row r="21" spans="1:8" ht="17.25" customHeight="1">
      <c r="A21" s="66">
        <f>IF(A18&lt;&gt; "", (IF(DATE(YEAR(A18),MONTH(A18),DAY(A18))&lt;DATE(YEAR(D3),MONTH(D3),DAY(D3)),DATE(YEAR(D2),MONTH(D2),(DAY(D2)+5)), "")), "")</f>
        <v>43989</v>
      </c>
      <c r="B21" s="15" t="str">
        <f>IF(E21=0 / 24, "","(journée continue)")</f>
        <v/>
      </c>
      <c r="C21" s="108">
        <f>'1er Ass OPV'!C21</f>
        <v>0</v>
      </c>
      <c r="D21" s="67">
        <f>'1er Ass OPV'!D21</f>
        <v>0</v>
      </c>
      <c r="E21" s="48">
        <f>SUM(D22,E22)</f>
        <v>0</v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82"/>
    </row>
    <row r="22" spans="1:8" ht="17.25" customHeight="1">
      <c r="A22" s="71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4">
        <f>IF(C20 = C21, (MOD(D21-D20,1)),0)</f>
        <v>0</v>
      </c>
      <c r="D22" s="68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7" t="str">
        <f>IF(OR(C24&lt;&gt;0, C25 &lt;&gt;0,), IF(MOD(C24-C23, 1) &lt; 0.041, "(pause réduite)", ""), "")</f>
        <v/>
      </c>
      <c r="C23" s="108">
        <f>'1er Ass OPV'!C23</f>
        <v>0</v>
      </c>
      <c r="D23" s="67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8">
        <f>'1er Ass OPV'!H23</f>
        <v>0</v>
      </c>
    </row>
    <row r="24" spans="1:8" ht="17.25" customHeight="1">
      <c r="A24" s="66">
        <f>IF(A21&lt;&gt; "", (IF(DATE(YEAR(A21),MONTH(A21),DAY(A21))&lt;DATE(YEAR(D3),MONTH(D3),DAY(D3)),DATE(YEAR(D2),MONTH(D2),(DAY(D2)+6)), "")), "")</f>
        <v>43990</v>
      </c>
      <c r="B24" s="15" t="str">
        <f>IF(E24=0 / 24, "","(journée continue)")</f>
        <v/>
      </c>
      <c r="C24" s="108">
        <f>'1er Ass OPV'!C24</f>
        <v>0</v>
      </c>
      <c r="D24" s="67">
        <f>'1er Ass OPV'!D24</f>
        <v>0</v>
      </c>
      <c r="E24" s="48">
        <f>SUM(D25,E25)</f>
        <v>0</v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82"/>
    </row>
    <row r="25" spans="1:8" ht="17.25" customHeight="1">
      <c r="A25" s="71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4">
        <f>IF(C23 = C24, (MOD(D24-D23,1)),0)</f>
        <v>0</v>
      </c>
      <c r="D25" s="68">
        <f>IF(C23=0 / 24,0,IF((MOD(C23-D23,1))&lt;6 / 24,0,0.5 / 24))</f>
        <v>0</v>
      </c>
      <c r="E25" s="40">
        <f>IF(C25&gt;=(6 / 24),0.5 / 24,(IF(C24 = C23, IF(MOD(D24-D23, 1) &lt;6/24, 0, 0.5/24), IF((MOD(D24-C24,1))&lt;6/24,0,0.5/24))))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64"/>
      <c r="C26" s="130"/>
      <c r="D26" s="131" t="s">
        <v>9</v>
      </c>
      <c r="E26" s="132">
        <f>SUM(E5,E8,E11,E14,E17,E20,E23)</f>
        <v>0</v>
      </c>
      <c r="F26" s="132">
        <f>SUM(F5,F6,F8,F9,F11,F12,F14,F15,F17,F18,F20,F21,F23,F24)</f>
        <v>0</v>
      </c>
      <c r="G26" s="133">
        <f>SUM(G5,G8,G11,G14,G17,G20,G23)</f>
        <v>0</v>
      </c>
      <c r="H26" s="134">
        <f>SUM(H23,H24,H21,H20,H18,H17,H15,H14,H12,H11,H9,H8,H6,H5,)</f>
        <v>0</v>
      </c>
    </row>
    <row r="27" spans="1:8" s="3" customFormat="1" ht="12.6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5">
        <f>IF(A6 = "", Fin, IF(A6&gt;DATE(YEAR(A6),3,20),IF(A6&lt;DATE(YEAR(A6),12,21),7 / 24,6 / 24),6 /24))</f>
        <v>0.29166666666666669</v>
      </c>
      <c r="B28" s="6"/>
      <c r="C28" s="6"/>
      <c r="D28" s="79" t="s">
        <v>10</v>
      </c>
      <c r="E28" s="30"/>
      <c r="F28" s="31" t="s">
        <v>28</v>
      </c>
      <c r="G28" s="31"/>
      <c r="H28" s="113"/>
    </row>
    <row r="29" spans="1:8" ht="17.25" customHeight="1">
      <c r="A29" s="135">
        <f>IF(A9= "", Fin, IF(A9&gt;DATE(YEAR(A9),3,20),IF(A9&lt;DATE(YEAR(A9),12,21),7 / 24,6 / 24),6 /24))</f>
        <v>0.29166666666666669</v>
      </c>
      <c r="B29" s="6"/>
      <c r="C29" s="6"/>
      <c r="D29" s="80" t="s">
        <v>56</v>
      </c>
      <c r="E29" s="17"/>
      <c r="F29" s="190">
        <v>880.58580154532297</v>
      </c>
      <c r="G29" s="18"/>
      <c r="H29" s="114"/>
    </row>
    <row r="30" spans="1:8" ht="17.25" customHeight="1" thickBot="1">
      <c r="A30" s="135">
        <f>IF(A12 = "", Fin, IF(A12&gt;DATE(YEAR(A12),3,20),IF(A12&lt;DATE(YEAR(A12),12,21),7 / 24,6 / 24),6 /24))</f>
        <v>0.29166666666666669</v>
      </c>
      <c r="B30" s="6"/>
      <c r="C30" s="6"/>
      <c r="D30" s="98" t="s">
        <v>12</v>
      </c>
      <c r="E30" s="99"/>
      <c r="F30" s="191">
        <f>+F29/35</f>
        <v>25.159594329866369</v>
      </c>
      <c r="G30" s="100"/>
      <c r="H30" s="115"/>
    </row>
    <row r="31" spans="1:8" s="3" customFormat="1" ht="17.25" customHeight="1">
      <c r="A31" s="136">
        <f>IF(A15 = "", Fin, IF(A15&gt;DATE(YEAR(A15),3,20),IF(A15&lt;DATE(YEAR(A15),12,21),7 / 24,6 / 24),6 /24))</f>
        <v>0.29166666666666669</v>
      </c>
      <c r="B31" s="9"/>
      <c r="C31" s="10"/>
      <c r="D31" s="81" t="s">
        <v>13</v>
      </c>
      <c r="E31" s="19">
        <f>IF(E26&gt;35 / 24,35 / 24,E26)</f>
        <v>0</v>
      </c>
      <c r="F31" s="88">
        <f>(F30*E31)*24</f>
        <v>0</v>
      </c>
      <c r="G31" s="88"/>
      <c r="H31" s="116"/>
    </row>
    <row r="32" spans="1:8" s="3" customFormat="1" ht="17.25" customHeight="1">
      <c r="A32" s="136">
        <f>IF(A18 = "", Fin, IF(A18&gt;DATE(YEAR(A18),3,20),IF(A18&lt;DATE(YEAR(A18),12,21),7 / 24,6 / 24),6 /24))</f>
        <v>0.29166666666666669</v>
      </c>
      <c r="B32" s="9"/>
      <c r="C32" s="32" t="s">
        <v>14</v>
      </c>
      <c r="D32" s="82" t="s">
        <v>15</v>
      </c>
      <c r="E32" s="20">
        <f>IF(E26&gt;35 / 24,IF(E26&lt;43 / 24,E26-35 / 24,8 / 24),0 / 24)</f>
        <v>0</v>
      </c>
      <c r="F32" s="89">
        <f>((F30*E32)*24)*1.25</f>
        <v>0</v>
      </c>
      <c r="G32" s="89"/>
      <c r="H32" s="117"/>
    </row>
    <row r="33" spans="1:8" s="3" customFormat="1" ht="17.25" customHeight="1">
      <c r="A33" s="136">
        <f>IF(A21 = "", Fin, IF(A21&gt;DATE(YEAR(A21),3,20),IF(A21&lt;DATE(YEAR(A21),12,21),7 / 24,6 / 24),6 /24))</f>
        <v>0.29166666666666669</v>
      </c>
      <c r="B33" s="9"/>
      <c r="C33" s="33" t="s">
        <v>16</v>
      </c>
      <c r="D33" s="83" t="s">
        <v>17</v>
      </c>
      <c r="E33" s="21">
        <f>IF(E26&gt;47 / 24,4 / 24,IF(E26&gt;43 / 24,E26-43 / 24,0 / 24))</f>
        <v>0</v>
      </c>
      <c r="F33" s="90">
        <f>((F30*E33)*24)*1.5</f>
        <v>0</v>
      </c>
      <c r="G33" s="90"/>
      <c r="H33" s="118"/>
    </row>
    <row r="34" spans="1:8" s="3" customFormat="1" ht="17.25" customHeight="1">
      <c r="A34" s="137">
        <f>IF(A24 = "", Fin, IF(A24&gt;DATE(YEAR(A24),3,20),IF(A24&lt;DATE(YEAR(A24),12,21),7 / 24,6 / 24),6 /24))</f>
        <v>0.29166666666666669</v>
      </c>
      <c r="B34" s="9"/>
      <c r="C34" s="32" t="s">
        <v>29</v>
      </c>
      <c r="D34" s="82" t="s">
        <v>17</v>
      </c>
      <c r="E34" s="20">
        <f>IF(E26&gt;47 / 24,E26- 47 / 24,0 /24)</f>
        <v>0</v>
      </c>
      <c r="F34" s="89">
        <f>((F30*E34)*24)*1.5</f>
        <v>0</v>
      </c>
      <c r="G34" s="89"/>
      <c r="H34" s="117"/>
    </row>
    <row r="35" spans="1:8" s="3" customFormat="1" ht="17.25" customHeight="1" thickBot="1">
      <c r="A35" s="8"/>
      <c r="B35" s="46"/>
      <c r="C35" s="11"/>
      <c r="D35" s="84" t="s">
        <v>18</v>
      </c>
      <c r="E35" s="22">
        <f>G25</f>
        <v>0</v>
      </c>
      <c r="F35" s="91">
        <f>(F30*E35)*24</f>
        <v>0</v>
      </c>
      <c r="G35" s="91"/>
      <c r="H35" s="119"/>
    </row>
    <row r="36" spans="1:8" s="3" customFormat="1" ht="17.25" customHeight="1">
      <c r="A36" s="8"/>
      <c r="B36" s="75" t="s">
        <v>19</v>
      </c>
      <c r="C36" s="41"/>
      <c r="D36" s="85" t="s">
        <v>20</v>
      </c>
      <c r="E36" s="23">
        <f>F26</f>
        <v>0</v>
      </c>
      <c r="F36" s="92">
        <f>((F30*E36)*24)*0.25</f>
        <v>0</v>
      </c>
      <c r="G36" s="92"/>
      <c r="H36" s="120"/>
    </row>
    <row r="37" spans="1:8" s="3" customFormat="1" ht="17.25" customHeight="1">
      <c r="A37" s="8"/>
      <c r="B37" s="76">
        <f>IF(D2&gt;DATE(YEAR(D2),3,20),IF(D2&lt;DATE(YEAR(D2),12,21),22/24,20/24),20/24)</f>
        <v>0.91666666666666663</v>
      </c>
      <c r="C37" s="13"/>
      <c r="D37" s="86" t="s">
        <v>21</v>
      </c>
      <c r="E37" s="24">
        <f>G26</f>
        <v>0</v>
      </c>
      <c r="F37" s="93">
        <f>((F30*E37)*24)*0.5</f>
        <v>0</v>
      </c>
      <c r="G37" s="93"/>
      <c r="H37" s="121"/>
    </row>
    <row r="38" spans="1:8" s="3" customFormat="1" ht="17.25" customHeight="1">
      <c r="A38" s="8"/>
      <c r="B38" s="77" t="s">
        <v>22</v>
      </c>
      <c r="C38" s="12"/>
      <c r="D38" s="85" t="s">
        <v>54</v>
      </c>
      <c r="E38" s="23">
        <f>H26</f>
        <v>0</v>
      </c>
      <c r="F38" s="92">
        <f>(F30*E38)*24</f>
        <v>0</v>
      </c>
      <c r="G38" s="92"/>
      <c r="H38" s="120"/>
    </row>
    <row r="39" spans="1:8" s="3" customFormat="1" ht="17.25" customHeight="1" thickBot="1">
      <c r="A39" s="126"/>
      <c r="B39" s="78">
        <f>IF(D2&gt;DATE(YEAR(D2),3,20),IF(D2&lt;DATE(YEAR(D2),12,21),7 / 24,6 / 24),6 /24)</f>
        <v>0.29166666666666669</v>
      </c>
      <c r="C39" s="13"/>
      <c r="D39" s="86" t="s">
        <v>23</v>
      </c>
      <c r="E39" s="24">
        <f>SUM(E21,E18,E15,E12,E9,E6, E24)</f>
        <v>0</v>
      </c>
      <c r="F39" s="93">
        <f>(F30*E39)*24</f>
        <v>0</v>
      </c>
      <c r="G39" s="93"/>
      <c r="H39" s="121"/>
    </row>
    <row r="40" spans="1:8" ht="17.25" customHeight="1">
      <c r="A40" s="36" t="s">
        <v>24</v>
      </c>
      <c r="B40" s="6"/>
      <c r="C40" s="41"/>
      <c r="D40" s="85" t="s">
        <v>25</v>
      </c>
      <c r="E40" s="23">
        <v>0</v>
      </c>
      <c r="F40" s="92">
        <f>(F30*E40)*24</f>
        <v>0</v>
      </c>
      <c r="G40" s="92"/>
      <c r="H40" s="120"/>
    </row>
    <row r="41" spans="1:8" ht="16.2" thickBot="1">
      <c r="A41" s="129" t="s">
        <v>26</v>
      </c>
      <c r="B41" s="127"/>
      <c r="C41" s="112"/>
      <c r="D41" s="122" t="s">
        <v>33</v>
      </c>
      <c r="E41" s="123">
        <f>IF(B7&lt;&gt;"",E5,IF(B10&lt;&gt;"",E8,IF(B13&lt;&gt;"",E11,IF(B16&lt;&gt;"",E14,IF(B19&lt;&gt;"",E17,IF(B22&lt;&gt;"",E20, IF(B25&lt;&gt;"",E23, 0)))))))</f>
        <v>0</v>
      </c>
      <c r="F41" s="93">
        <f>((F30*E41)*24)*0.5</f>
        <v>0</v>
      </c>
      <c r="G41" s="124"/>
      <c r="H41" s="125"/>
    </row>
    <row r="42" spans="1:8" ht="16.2" thickBot="1">
      <c r="A42" s="128"/>
      <c r="B42" s="165">
        <f>COUNTIF(E5,"&lt;&gt;0" )+COUNTIF(E8,"&lt;&gt;0")+COUNTIF(E11,"&lt;&gt;0")+COUNTIF(E14,"&lt;&gt;0")+COUNTIF(E17,"&lt;&gt;0")+COUNTIF(E20,"&lt;&gt;0")+COUNTIF(E23,"&lt;&gt;0")</f>
        <v>0</v>
      </c>
      <c r="C42" s="163" t="s">
        <v>61</v>
      </c>
      <c r="D42" s="94" t="s">
        <v>27</v>
      </c>
      <c r="E42" s="95">
        <f>IF(B42&gt;=5,IF(E26=0/24,0/24,IF(E26&lt;35/24,35/24,E26)),E26)</f>
        <v>0</v>
      </c>
      <c r="F42" s="192">
        <f>IF(E42=0/24,0,IF(E42&lt;35/24,SUM(F31:F41),IF(E42&gt;35/24,SUM(F31:F41),F29+SUM(F35:F41))))</f>
        <v>0</v>
      </c>
      <c r="G42" s="96"/>
      <c r="H42" s="97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F2" sqref="F2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8" ht="30" customHeight="1">
      <c r="A1" s="42" t="s">
        <v>0</v>
      </c>
      <c r="B1" s="54" t="str">
        <f>'1er Ass OPV'!B1</f>
        <v>"Production"</v>
      </c>
      <c r="C1" s="109"/>
      <c r="D1" s="65" t="str">
        <f>'1er Ass OPV'!D1</f>
        <v>Semaine N°</v>
      </c>
      <c r="E1" s="43" t="s">
        <v>1</v>
      </c>
      <c r="F1" s="54" t="str">
        <f>'1er Ass OPV'!F1</f>
        <v>Caméra</v>
      </c>
      <c r="G1" s="107"/>
      <c r="H1" s="37"/>
    </row>
    <row r="2" spans="1:8" ht="19.95" customHeight="1">
      <c r="A2" s="44" t="s">
        <v>31</v>
      </c>
      <c r="B2" s="55" t="str">
        <f>'1er Ass OPV'!B2</f>
        <v>"Film"</v>
      </c>
      <c r="C2" s="62" t="s">
        <v>51</v>
      </c>
      <c r="D2" s="64">
        <f>'1er Ass OPV'!D2</f>
        <v>43984</v>
      </c>
      <c r="E2" s="62" t="s">
        <v>3</v>
      </c>
      <c r="F2" s="55" t="s">
        <v>48</v>
      </c>
      <c r="G2" s="106"/>
      <c r="H2" s="63"/>
    </row>
    <row r="3" spans="1:8" ht="19.95" customHeight="1" thickBot="1">
      <c r="A3" s="44"/>
      <c r="B3" s="106"/>
      <c r="C3" s="62" t="s">
        <v>52</v>
      </c>
      <c r="D3" s="183">
        <f>D2+DAY(5)</f>
        <v>43990</v>
      </c>
      <c r="E3" s="45"/>
      <c r="F3" s="105"/>
      <c r="G3" s="105"/>
      <c r="H3" s="38"/>
    </row>
    <row r="4" spans="1:8" s="3" customFormat="1" ht="46.5" customHeight="1">
      <c r="A4" s="25" t="s">
        <v>4</v>
      </c>
      <c r="B4" s="26" t="s">
        <v>32</v>
      </c>
      <c r="C4" s="26" t="s">
        <v>57</v>
      </c>
      <c r="D4" s="28" t="s">
        <v>5</v>
      </c>
      <c r="E4" s="26" t="s">
        <v>6</v>
      </c>
      <c r="F4" s="27" t="s">
        <v>7</v>
      </c>
      <c r="G4" s="28" t="s">
        <v>53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8">
        <f>'1er Ass OPV'!C5</f>
        <v>0</v>
      </c>
      <c r="D5" s="67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8">
        <f>'1er Ass OPV'!H5</f>
        <v>0</v>
      </c>
    </row>
    <row r="6" spans="1:8" ht="17.25" customHeight="1">
      <c r="A6" s="66">
        <f>D2</f>
        <v>43984</v>
      </c>
      <c r="B6" s="72" t="str">
        <f>IF(E6=0 / 24, "","(journée continue)")</f>
        <v/>
      </c>
      <c r="C6" s="108">
        <f>'1er Ass OPV'!C6</f>
        <v>0</v>
      </c>
      <c r="D6" s="67">
        <f>'1er Ass OPV'!D6</f>
        <v>0</v>
      </c>
      <c r="E6" s="48">
        <f>SUM(D7,E7)</f>
        <v>0</v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9"/>
    </row>
    <row r="7" spans="1:8" ht="17.25" customHeight="1">
      <c r="A7" s="71">
        <f>IF(A6="", Deb, IF(A6&gt;DATE(YEAR(A6),3,20),IF(A6&lt;DATE(YEAR(A6),12,21),22 / 24,20 / 24),20 /24))</f>
        <v>0.91666666666666663</v>
      </c>
      <c r="B7" s="70" t="str">
        <f>IF(A6 &lt;&gt; "", IF(A5="DIMANCHE", "(majoration dimanche)", ""), "")</f>
        <v/>
      </c>
      <c r="C7" s="74">
        <f>IF(C6 = C5, (MOD(D6-D5,1)),0)</f>
        <v>0</v>
      </c>
      <c r="D7" s="68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10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7" t="str">
        <f>IF(OR(C8&lt;&gt;0, C9 &lt;&gt;0,), IF(MOD(C9-C8, 1) &lt; 0.041, "(pause réduite)", ""), "")</f>
        <v/>
      </c>
      <c r="C8" s="108">
        <f>'1er Ass OPV'!C8</f>
        <v>0</v>
      </c>
      <c r="D8" s="67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8">
        <f>'1er Ass OPV'!H8</f>
        <v>0</v>
      </c>
    </row>
    <row r="9" spans="1:8" ht="17.25" customHeight="1">
      <c r="A9" s="66">
        <f>IF(AND(DATE(YEAR(D2),MONTH(D2),DAY(D2))&lt;DATE(YEAR(D3),MONTH(D3),DAY(D3)), A6&lt;&gt;""),DATE(YEAR(D2),MONTH(D2),DAY(D2)+1),"")</f>
        <v>43985</v>
      </c>
      <c r="B9" s="15" t="str">
        <f>IF(E9=0 / 24, "","(journée continue)")</f>
        <v/>
      </c>
      <c r="C9" s="108">
        <f>'1er Ass OPV'!C9</f>
        <v>0</v>
      </c>
      <c r="D9" s="67">
        <f>'1er Ass OPV'!D9</f>
        <v>0</v>
      </c>
      <c r="E9" s="48">
        <f>SUM(D10,E10)</f>
        <v>0</v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80"/>
    </row>
    <row r="10" spans="1:8" ht="17.25" customHeight="1">
      <c r="A10" s="71">
        <f>IF(A9="", Deb, IF(A9&gt;DATE(YEAR(A9),3,20),IF(A9&lt;DATE(YEAR(A9),12,21),22 / 24,20 / 24),20 /24))</f>
        <v>0.91666666666666663</v>
      </c>
      <c r="B10" s="70" t="str">
        <f>IF(A9 &lt;&gt; "", IF(A8="DIMANCHE", "(majoration dimanche)", ""), "")</f>
        <v/>
      </c>
      <c r="C10" s="74">
        <f>IF(C9 = C8, (MOD(D9-D8,1)),0)</f>
        <v>0</v>
      </c>
      <c r="D10" s="68">
        <f>IF(C8=0 / 24,0,IF((MOD(C8-D8,1))&lt;6 / 24,0,0.5 / 24))</f>
        <v>0</v>
      </c>
      <c r="E10" s="74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10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7" t="str">
        <f>IF(OR(C11&lt;&gt;0, C12 &lt;&gt;0,), IF(MOD(C12-C11, 1) &lt; 0.041, "(pause réduite)", ""), "")</f>
        <v/>
      </c>
      <c r="C11" s="108">
        <f>'1er Ass OPV'!C11</f>
        <v>0</v>
      </c>
      <c r="D11" s="67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8">
        <f>'1er Ass OPV'!H11</f>
        <v>0</v>
      </c>
    </row>
    <row r="12" spans="1:8" ht="17.25" customHeight="1">
      <c r="A12" s="66">
        <f>IF(AND(DATE(YEAR(A9),MONTH(A9),DAY(A9))&lt;DATE(YEAR(D3),MONTH(D3),DAY(D3)), A9&lt;&gt;""),DATE(YEAR(D2),MONTH(D2),DAY(D2)+2), "")</f>
        <v>43986</v>
      </c>
      <c r="B12" s="15" t="str">
        <f>IF(E12=0 / 24, "","(journée continue)")</f>
        <v/>
      </c>
      <c r="C12" s="108">
        <f>'1er Ass OPV'!C12</f>
        <v>0</v>
      </c>
      <c r="D12" s="67">
        <f>'1er Ass OPV'!D12</f>
        <v>0</v>
      </c>
      <c r="E12" s="48">
        <f>SUM(D13,E13)</f>
        <v>0</v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81"/>
    </row>
    <row r="13" spans="1:8" ht="17.25" customHeight="1">
      <c r="A13" s="71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4">
        <f>IF(C12 = C11, (MOD(D12-D11,1)),0)</f>
        <v>0</v>
      </c>
      <c r="D13" s="68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11"/>
      <c r="H13" s="39">
        <f>IF((E11)&lt;12/24,0/24,(E11)-12/24)</f>
        <v>0</v>
      </c>
    </row>
    <row r="14" spans="1:8" ht="16.95" customHeight="1">
      <c r="A14" s="34" t="str">
        <f>CHOOSE(WEEKDAY(A6+3,2),"LUNDI","MARDI","MERCREDI","JEUDI","VENDREDI","SAMEDI","DIMANCHE")</f>
        <v>JEUDI</v>
      </c>
      <c r="B14" s="87" t="str">
        <f>IF(OR(C14&lt;&gt;0, C15 &lt;&gt;0,), IF(MOD(C15-C14, 1) &lt; 0.041, "(pause réduite)", ""), "")</f>
        <v/>
      </c>
      <c r="C14" s="108">
        <f>'1er Ass OPV'!C14</f>
        <v>0</v>
      </c>
      <c r="D14" s="67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8">
        <f>'1er Ass OPV'!H14</f>
        <v>0</v>
      </c>
    </row>
    <row r="15" spans="1:8" ht="17.25" customHeight="1">
      <c r="A15" s="66">
        <f>IF(A12&lt;&gt; "", (IF(DATE(YEAR(A12),MONTH(A12),DAY(A12))&lt;DATE(YEAR(D3),MONTH(D3),DAY(D3)),DATE(YEAR(D2),MONTH(D2),(DAY(D2)+3)), "")), "")</f>
        <v>43987</v>
      </c>
      <c r="B15" s="15" t="str">
        <f>IF(E15=0 / 24, "","(journée continue)")</f>
        <v/>
      </c>
      <c r="C15" s="108">
        <f>'1er Ass OPV'!C15</f>
        <v>0</v>
      </c>
      <c r="D15" s="67">
        <f>'1er Ass OPV'!D15</f>
        <v>0</v>
      </c>
      <c r="E15" s="48">
        <f>SUM(D16,E16)</f>
        <v>0</v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80"/>
    </row>
    <row r="16" spans="1:8" ht="17.25" customHeight="1">
      <c r="A16" s="71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4">
        <f>IF(C14 = C15, (MOD(D15-D14,1)),0)</f>
        <v>0</v>
      </c>
      <c r="D16" s="68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7" t="str">
        <f>IF(OR(C17&lt;&gt;0, C18 &lt;&gt;0,), IF(MOD(C18-C17, 1) &lt; 0.041, "(pause réduite)", ""), "")</f>
        <v/>
      </c>
      <c r="C17" s="108">
        <f>'1er Ass OPV'!C17</f>
        <v>0</v>
      </c>
      <c r="D17" s="67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8">
        <f>'1er Ass OPV'!H17</f>
        <v>0</v>
      </c>
    </row>
    <row r="18" spans="1:8" ht="17.25" customHeight="1">
      <c r="A18" s="66">
        <f>IF(A15&lt;&gt; "", (IF(DATE(YEAR(A15),MONTH(A15),DAY(A15))&lt;DATE(YEAR(D3),MONTH(D3),DAY(D3)),DATE(YEAR(D2),MONTH(D2),(DAY(D2)+4)), "")), "")</f>
        <v>43988</v>
      </c>
      <c r="B18" s="15" t="str">
        <f>IF(E18=0 / 24, "","(journée continue)")</f>
        <v/>
      </c>
      <c r="C18" s="108">
        <f>'1er Ass OPV'!C18</f>
        <v>0</v>
      </c>
      <c r="D18" s="67">
        <f>'1er Ass OPV'!D18</f>
        <v>0</v>
      </c>
      <c r="E18" s="48">
        <f>SUM(D19,E19)</f>
        <v>0</v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80"/>
    </row>
    <row r="19" spans="1:8" ht="17.25" customHeight="1">
      <c r="A19" s="71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4">
        <f>IF(C17 = C18, (MOD(D18-D17,1)),0)</f>
        <v>0</v>
      </c>
      <c r="D19" s="68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3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7" t="str">
        <f>IF(OR(C21&lt;&gt;0, C22 &lt;&gt;0,), IF(MOD(C21-C20, 1) &lt; 0.041, "(pause réduite)", ""), "")</f>
        <v/>
      </c>
      <c r="C20" s="108">
        <f>'1er Ass OPV'!C20</f>
        <v>0</v>
      </c>
      <c r="D20" s="67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8">
        <f>'1er Ass OPV'!H20</f>
        <v>0</v>
      </c>
    </row>
    <row r="21" spans="1:8" ht="17.25" customHeight="1">
      <c r="A21" s="66">
        <f>IF(A18&lt;&gt; "", (IF(DATE(YEAR(A18),MONTH(A18),DAY(A18))&lt;DATE(YEAR(D3),MONTH(D3),DAY(D3)),DATE(YEAR(D2),MONTH(D2),(DAY(D2)+5)), "")), "")</f>
        <v>43989</v>
      </c>
      <c r="B21" s="15" t="str">
        <f>IF(E21=0 / 24, "","(journée continue)")</f>
        <v/>
      </c>
      <c r="C21" s="108">
        <f>'1er Ass OPV'!C21</f>
        <v>0</v>
      </c>
      <c r="D21" s="67">
        <f>'1er Ass OPV'!D21</f>
        <v>0</v>
      </c>
      <c r="E21" s="48">
        <f>SUM(D22,E22)</f>
        <v>0</v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82"/>
    </row>
    <row r="22" spans="1:8" ht="17.25" customHeight="1">
      <c r="A22" s="71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4">
        <f>IF(C20 = C21, (MOD(D21-D20,1)),0)</f>
        <v>0</v>
      </c>
      <c r="D22" s="68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7" t="str">
        <f>IF(OR(C24&lt;&gt;0, C25 &lt;&gt;0,), IF(MOD(C24-C23, 1) &lt; 0.041, "(pause réduite)", ""), "")</f>
        <v/>
      </c>
      <c r="C23" s="108">
        <f>'1er Ass OPV'!C23</f>
        <v>0</v>
      </c>
      <c r="D23" s="67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8">
        <f>'1er Ass OPV'!H23</f>
        <v>0</v>
      </c>
    </row>
    <row r="24" spans="1:8" ht="17.25" customHeight="1">
      <c r="A24" s="66">
        <f>IF(A21&lt;&gt; "", (IF(DATE(YEAR(A21),MONTH(A21),DAY(A21))&lt;DATE(YEAR(D3),MONTH(D3),DAY(D3)),DATE(YEAR(D2),MONTH(D2),(DAY(D2)+6)), "")), "")</f>
        <v>43990</v>
      </c>
      <c r="B24" s="15" t="str">
        <f>IF(E24=0 / 24, "","(journée continue)")</f>
        <v/>
      </c>
      <c r="C24" s="108">
        <f>'1er Ass OPV'!C24</f>
        <v>0</v>
      </c>
      <c r="D24" s="67">
        <f>'1er Ass OPV'!D24</f>
        <v>0</v>
      </c>
      <c r="E24" s="48">
        <f>SUM(D25,E25)</f>
        <v>0</v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82"/>
    </row>
    <row r="25" spans="1:8" ht="17.25" customHeight="1">
      <c r="A25" s="71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4">
        <f>IF(C23 = C24, (MOD(D24-D23,1)),0)</f>
        <v>0</v>
      </c>
      <c r="D25" s="68">
        <f>IF(C23=0 / 24,0,IF((MOD(C23-D23,1))&lt;6 / 24,0,0.5 / 24))</f>
        <v>0</v>
      </c>
      <c r="E25" s="40">
        <f>IF(C25&gt;=(6 / 24),0.5 / 24,(IF(C24 = C23, IF(MOD(D24-D23, 1) &lt;6/24, 0, 0.5/24), IF((MOD(D24-C24,1))&lt;6/24,0,0.5/24))))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64"/>
      <c r="C26" s="130"/>
      <c r="D26" s="131" t="s">
        <v>9</v>
      </c>
      <c r="E26" s="132">
        <f>SUM(E5,E8,E11,E14,E17,E20,E23)</f>
        <v>0</v>
      </c>
      <c r="F26" s="132">
        <f>SUM(F5,F6,F8,F9,F11,F12,F14,F15,F17,F18,F20,F21,F23,F24)</f>
        <v>0</v>
      </c>
      <c r="G26" s="133">
        <f>SUM(G5,G8,G11,G14,G17,G20,G23)</f>
        <v>0</v>
      </c>
      <c r="H26" s="134">
        <f>SUM(H23,H24,H21,H20,H18,H17,H15,H14,H12,H11,H9,H8,H6,H5,)</f>
        <v>0</v>
      </c>
    </row>
    <row r="27" spans="1:8" s="3" customFormat="1" ht="12.6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5">
        <f>IF(A6 = "", Fin, IF(A6&gt;DATE(YEAR(A6),3,20),IF(A6&lt;DATE(YEAR(A6),12,21),7 / 24,6 / 24),6 /24))</f>
        <v>0.29166666666666669</v>
      </c>
      <c r="B28" s="6"/>
      <c r="C28" s="6"/>
      <c r="D28" s="79" t="s">
        <v>10</v>
      </c>
      <c r="E28" s="30"/>
      <c r="F28" s="31" t="s">
        <v>34</v>
      </c>
      <c r="G28" s="31"/>
      <c r="H28" s="113"/>
    </row>
    <row r="29" spans="1:8" ht="17.25" customHeight="1">
      <c r="A29" s="135">
        <f>IF(A9= "", Fin, IF(A9&gt;DATE(YEAR(A9),3,20),IF(A9&lt;DATE(YEAR(A9),12,21),7 / 24,6 / 24),6 /24))</f>
        <v>0.29166666666666669</v>
      </c>
      <c r="B29" s="6"/>
      <c r="C29" s="6"/>
      <c r="D29" s="80" t="s">
        <v>56</v>
      </c>
      <c r="E29" s="17"/>
      <c r="F29" s="190">
        <v>451.98509999999999</v>
      </c>
      <c r="G29" s="18"/>
      <c r="H29" s="114"/>
    </row>
    <row r="30" spans="1:8" ht="17.25" customHeight="1" thickBot="1">
      <c r="A30" s="135">
        <f>IF(A12 = "", Fin, IF(A12&gt;DATE(YEAR(A12),3,20),IF(A12&lt;DATE(YEAR(A12),12,21),7 / 24,6 / 24),6 /24))</f>
        <v>0.29166666666666669</v>
      </c>
      <c r="B30" s="6"/>
      <c r="C30" s="6"/>
      <c r="D30" s="98" t="s">
        <v>12</v>
      </c>
      <c r="E30" s="99"/>
      <c r="F30" s="191">
        <f>+F29/35</f>
        <v>12.91386</v>
      </c>
      <c r="G30" s="100"/>
      <c r="H30" s="115"/>
    </row>
    <row r="31" spans="1:8" s="3" customFormat="1" ht="17.25" customHeight="1">
      <c r="A31" s="136">
        <f>IF(A15 = "", Fin, IF(A15&gt;DATE(YEAR(A15),3,20),IF(A15&lt;DATE(YEAR(A15),12,21),7 / 24,6 / 24),6 /24))</f>
        <v>0.29166666666666669</v>
      </c>
      <c r="B31" s="9"/>
      <c r="C31" s="10"/>
      <c r="D31" s="81" t="s">
        <v>13</v>
      </c>
      <c r="E31" s="19">
        <f>IF(E26&gt;35 / 24,35 / 24,E26)</f>
        <v>0</v>
      </c>
      <c r="F31" s="88">
        <f>(F30*E31)*24</f>
        <v>0</v>
      </c>
      <c r="G31" s="88"/>
      <c r="H31" s="116"/>
    </row>
    <row r="32" spans="1:8" s="3" customFormat="1" ht="17.25" customHeight="1">
      <c r="A32" s="136">
        <f>IF(A18 = "", Fin, IF(A18&gt;DATE(YEAR(A18),3,20),IF(A18&lt;DATE(YEAR(A18),12,21),7 / 24,6 / 24),6 /24))</f>
        <v>0.29166666666666669</v>
      </c>
      <c r="B32" s="9"/>
      <c r="C32" s="32" t="s">
        <v>14</v>
      </c>
      <c r="D32" s="82" t="s">
        <v>15</v>
      </c>
      <c r="E32" s="20">
        <f>IF(E26&gt;35 / 24,IF(E26&lt;43 / 24,E26-35 / 24,8 / 24),0 / 24)</f>
        <v>0</v>
      </c>
      <c r="F32" s="89">
        <f>((F30*E32)*24)*1.25</f>
        <v>0</v>
      </c>
      <c r="G32" s="89"/>
      <c r="H32" s="117"/>
    </row>
    <row r="33" spans="1:8" s="3" customFormat="1" ht="17.25" customHeight="1">
      <c r="A33" s="136">
        <f>IF(A21 = "", Fin, IF(A21&gt;DATE(YEAR(A21),3,20),IF(A21&lt;DATE(YEAR(A21),12,21),7 / 24,6 / 24),6 /24))</f>
        <v>0.29166666666666669</v>
      </c>
      <c r="B33" s="9"/>
      <c r="C33" s="33" t="s">
        <v>16</v>
      </c>
      <c r="D33" s="83" t="s">
        <v>17</v>
      </c>
      <c r="E33" s="21">
        <f>IF(E26&gt;47 / 24,4 / 24,IF(E26&gt;43 / 24,E26-43 / 24,0 / 24))</f>
        <v>0</v>
      </c>
      <c r="F33" s="90">
        <f>((F30*E33)*24)*1.5</f>
        <v>0</v>
      </c>
      <c r="G33" s="90"/>
      <c r="H33" s="118"/>
    </row>
    <row r="34" spans="1:8" s="3" customFormat="1" ht="17.25" customHeight="1">
      <c r="A34" s="137">
        <f>IF(A24 = "", Fin, IF(A24&gt;DATE(YEAR(A24),3,20),IF(A24&lt;DATE(YEAR(A24),12,21),7 / 24,6 / 24),6 /24))</f>
        <v>0.29166666666666669</v>
      </c>
      <c r="B34" s="9"/>
      <c r="C34" s="32" t="s">
        <v>29</v>
      </c>
      <c r="D34" s="82" t="s">
        <v>17</v>
      </c>
      <c r="E34" s="20">
        <f>IF(E26&gt;47 / 24,E26- 47 / 24,0 /24)</f>
        <v>0</v>
      </c>
      <c r="F34" s="89">
        <f>((F30*E34)*24)*1.5</f>
        <v>0</v>
      </c>
      <c r="G34" s="89"/>
      <c r="H34" s="117"/>
    </row>
    <row r="35" spans="1:8" s="3" customFormat="1" ht="17.25" customHeight="1" thickBot="1">
      <c r="A35" s="8"/>
      <c r="B35" s="46"/>
      <c r="C35" s="11"/>
      <c r="D35" s="84" t="s">
        <v>18</v>
      </c>
      <c r="E35" s="22">
        <f>G25</f>
        <v>0</v>
      </c>
      <c r="F35" s="91">
        <f>(F30*E35)*24</f>
        <v>0</v>
      </c>
      <c r="G35" s="91"/>
      <c r="H35" s="119"/>
    </row>
    <row r="36" spans="1:8" s="3" customFormat="1" ht="17.25" customHeight="1">
      <c r="A36" s="8"/>
      <c r="B36" s="75" t="s">
        <v>19</v>
      </c>
      <c r="C36" s="41"/>
      <c r="D36" s="85" t="s">
        <v>20</v>
      </c>
      <c r="E36" s="23">
        <f>F26</f>
        <v>0</v>
      </c>
      <c r="F36" s="92">
        <f>((F30*E36)*24)*0.25</f>
        <v>0</v>
      </c>
      <c r="G36" s="92"/>
      <c r="H36" s="120"/>
    </row>
    <row r="37" spans="1:8" s="3" customFormat="1" ht="17.25" customHeight="1">
      <c r="A37" s="8"/>
      <c r="B37" s="76">
        <f>IF(D2&gt;DATE(YEAR(D2),3,20),IF(D2&lt;DATE(YEAR(D2),12,21),22/24,20/24),20/24)</f>
        <v>0.91666666666666663</v>
      </c>
      <c r="C37" s="13"/>
      <c r="D37" s="86" t="s">
        <v>21</v>
      </c>
      <c r="E37" s="24">
        <f>G26</f>
        <v>0</v>
      </c>
      <c r="F37" s="93">
        <f>((F30*E37)*24)*0.5</f>
        <v>0</v>
      </c>
      <c r="G37" s="93"/>
      <c r="H37" s="121"/>
    </row>
    <row r="38" spans="1:8" s="3" customFormat="1" ht="17.25" customHeight="1">
      <c r="A38" s="8"/>
      <c r="B38" s="77" t="s">
        <v>22</v>
      </c>
      <c r="C38" s="12"/>
      <c r="D38" s="85" t="s">
        <v>54</v>
      </c>
      <c r="E38" s="23">
        <f>H26</f>
        <v>0</v>
      </c>
      <c r="F38" s="92">
        <f>(F30*E38)*24</f>
        <v>0</v>
      </c>
      <c r="G38" s="92"/>
      <c r="H38" s="120"/>
    </row>
    <row r="39" spans="1:8" s="3" customFormat="1" ht="17.25" customHeight="1" thickBot="1">
      <c r="A39" s="126"/>
      <c r="B39" s="78">
        <f>IF(D2&gt;DATE(YEAR(D2),3,20),IF(D2&lt;DATE(YEAR(D2),12,21),7 / 24,6 / 24),6 /24)</f>
        <v>0.29166666666666669</v>
      </c>
      <c r="C39" s="13"/>
      <c r="D39" s="86" t="s">
        <v>23</v>
      </c>
      <c r="E39" s="24">
        <f>SUM(E21,E18,E15,E12,E9,E6, E24)</f>
        <v>0</v>
      </c>
      <c r="F39" s="93">
        <f>(F30*E39)*24</f>
        <v>0</v>
      </c>
      <c r="G39" s="93"/>
      <c r="H39" s="121"/>
    </row>
    <row r="40" spans="1:8" ht="17.25" customHeight="1">
      <c r="A40" s="36" t="s">
        <v>24</v>
      </c>
      <c r="B40" s="6"/>
      <c r="C40" s="41"/>
      <c r="D40" s="85" t="s">
        <v>25</v>
      </c>
      <c r="E40" s="23">
        <v>0</v>
      </c>
      <c r="F40" s="92">
        <f>(F30*E40)*24</f>
        <v>0</v>
      </c>
      <c r="G40" s="92"/>
      <c r="H40" s="120"/>
    </row>
    <row r="41" spans="1:8" ht="16.2" thickBot="1">
      <c r="A41" s="129" t="s">
        <v>26</v>
      </c>
      <c r="B41" s="127"/>
      <c r="C41" s="112"/>
      <c r="D41" s="122" t="s">
        <v>33</v>
      </c>
      <c r="E41" s="123">
        <f>IF(B7&lt;&gt;"",E5,IF(B10&lt;&gt;"",E8,IF(B13&lt;&gt;"",E11,IF(B16&lt;&gt;"",E14,IF(B19&lt;&gt;"",E17,IF(B22&lt;&gt;"",E20, IF(B25&lt;&gt;"",E23, 0)))))))</f>
        <v>0</v>
      </c>
      <c r="F41" s="93">
        <f>((F30*E41)*24)*0.5</f>
        <v>0</v>
      </c>
      <c r="G41" s="124"/>
      <c r="H41" s="125"/>
    </row>
    <row r="42" spans="1:8" ht="16.2" thickBot="1">
      <c r="A42" s="128"/>
      <c r="B42" s="165">
        <f>COUNTIF(E5,"&lt;&gt;0" )+COUNTIF(E8,"&lt;&gt;0")+COUNTIF(E11,"&lt;&gt;0")+COUNTIF(E14,"&lt;&gt;0")+COUNTIF(E17,"&lt;&gt;0")+COUNTIF(E20,"&lt;&gt;0")+COUNTIF(E23,"&lt;&gt;0")</f>
        <v>0</v>
      </c>
      <c r="C42" s="163" t="s">
        <v>61</v>
      </c>
      <c r="D42" s="94" t="s">
        <v>27</v>
      </c>
      <c r="E42" s="95">
        <f>IF(B42&gt;=5,IF(E26=0/24,0/24,IF(E26&lt;35/24,35/24,E26)),E26)</f>
        <v>0</v>
      </c>
      <c r="F42" s="192">
        <f>IF(E42=0/24,0,IF(E42&lt;35/24,SUM(F31:F41),IF(E42&gt;35/24,SUM(F31:F41),F29+SUM(F35:F41))))</f>
        <v>0</v>
      </c>
      <c r="G42" s="96"/>
      <c r="H42" s="97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Ugo Villion</cp:lastModifiedBy>
  <cp:revision/>
  <cp:lastPrinted>2022-02-19T19:17:32Z</cp:lastPrinted>
  <dcterms:created xsi:type="dcterms:W3CDTF">2002-09-15T20:21:11Z</dcterms:created>
  <dcterms:modified xsi:type="dcterms:W3CDTF">2024-06-16T18:21:35Z</dcterms:modified>
  <cp:category/>
  <cp:contentStatus/>
</cp:coreProperties>
</file>