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262d6a9b86d85f4/Documents/Assistant Cam/AOA/"/>
    </mc:Choice>
  </mc:AlternateContent>
  <xr:revisionPtr revIDLastSave="2" documentId="13_ncr:1_{960DD833-8F49-4C21-9484-189B940188A4}" xr6:coauthVersionLast="47" xr6:coauthVersionMax="47" xr10:uidLastSave="{1EC56132-D133-404F-A613-06757C1514A8}"/>
  <bookViews>
    <workbookView xWindow="0" yWindow="180" windowWidth="21972" windowHeight="11712" xr2:uid="{00000000-000D-0000-FFFF-FFFF00000000}"/>
  </bookViews>
  <sheets>
    <sheet name="Notice" sheetId="9" r:id="rId1"/>
    <sheet name="1er Ass OPV" sheetId="12" r:id="rId2"/>
    <sheet name="2nd Ass OPV" sheetId="15" r:id="rId3"/>
    <sheet name="Ass OPV Adj" sheetId="14" r:id="rId4"/>
  </sheets>
  <definedNames>
    <definedName name="Deb" localSheetId="1">'1er Ass OPV'!$A$30</definedName>
    <definedName name="Deb" localSheetId="2">'2nd Ass OPV'!$A$30</definedName>
    <definedName name="Deb" localSheetId="3">'Ass OPV Adj'!$A$27</definedName>
    <definedName name="Deb">#REF!</definedName>
    <definedName name="Fin" localSheetId="1">'1er Ass OPV'!$A$32</definedName>
    <definedName name="Fin" localSheetId="2">'2nd Ass OPV'!$A$32</definedName>
    <definedName name="Fin" localSheetId="3">'Ass OPV Adj'!$A$29</definedName>
    <definedName name="Fin">#REF!</definedName>
  </definedNames>
  <calcPr calcId="19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F1" i="15" l="1"/>
  <c r="F1" i="14"/>
  <c r="B1" i="15"/>
  <c r="D36" i="12"/>
  <c r="E36" i="12"/>
  <c r="G25" i="15" l="1"/>
  <c r="F22" i="12" l="1"/>
  <c r="F21" i="12"/>
  <c r="F24" i="12"/>
  <c r="F23" i="12"/>
  <c r="D2" i="12"/>
  <c r="B34" i="12" s="1"/>
  <c r="D25" i="14"/>
  <c r="D24" i="14"/>
  <c r="D23" i="14"/>
  <c r="F23" i="14" s="1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24" i="15"/>
  <c r="D23" i="15"/>
  <c r="D21" i="15"/>
  <c r="D20" i="15"/>
  <c r="D18" i="15"/>
  <c r="D17" i="15"/>
  <c r="D15" i="15"/>
  <c r="D14" i="15"/>
  <c r="D12" i="15"/>
  <c r="D11" i="15"/>
  <c r="D9" i="15"/>
  <c r="D8" i="15"/>
  <c r="D6" i="15"/>
  <c r="D5" i="15"/>
  <c r="H5" i="15"/>
  <c r="H23" i="14"/>
  <c r="H20" i="14"/>
  <c r="H17" i="14"/>
  <c r="H14" i="14"/>
  <c r="H11" i="14"/>
  <c r="H8" i="14"/>
  <c r="H5" i="14"/>
  <c r="D22" i="15"/>
  <c r="D16" i="15"/>
  <c r="D13" i="15"/>
  <c r="B2" i="15"/>
  <c r="D1" i="15"/>
  <c r="D16" i="12"/>
  <c r="C16" i="12"/>
  <c r="D13" i="12"/>
  <c r="C13" i="12"/>
  <c r="D10" i="12"/>
  <c r="C10" i="12"/>
  <c r="D7" i="12"/>
  <c r="C7" i="12"/>
  <c r="C5" i="15"/>
  <c r="D7" i="15" s="1"/>
  <c r="C6" i="15"/>
  <c r="C8" i="15"/>
  <c r="D10" i="15" s="1"/>
  <c r="C9" i="15"/>
  <c r="C11" i="15"/>
  <c r="C12" i="15"/>
  <c r="C14" i="15"/>
  <c r="C15" i="15"/>
  <c r="C17" i="15"/>
  <c r="D19" i="15" s="1"/>
  <c r="C18" i="15"/>
  <c r="F23" i="15" l="1"/>
  <c r="D3" i="12"/>
  <c r="C16" i="15"/>
  <c r="C13" i="15"/>
  <c r="C10" i="15"/>
  <c r="C7" i="15"/>
  <c r="H26" i="14" l="1"/>
  <c r="E35" i="14" s="1"/>
  <c r="C24" i="14"/>
  <c r="F24" i="14" s="1"/>
  <c r="C23" i="14"/>
  <c r="C21" i="14"/>
  <c r="C20" i="14"/>
  <c r="C18" i="14"/>
  <c r="C17" i="14"/>
  <c r="C15" i="14"/>
  <c r="C14" i="14"/>
  <c r="C12" i="14"/>
  <c r="C11" i="14"/>
  <c r="C9" i="14"/>
  <c r="C8" i="14"/>
  <c r="C6" i="14"/>
  <c r="C5" i="14"/>
  <c r="H23" i="15"/>
  <c r="H20" i="15"/>
  <c r="H17" i="15"/>
  <c r="H14" i="15"/>
  <c r="H11" i="15"/>
  <c r="H8" i="15"/>
  <c r="D2" i="15"/>
  <c r="D2" i="14"/>
  <c r="C25" i="12"/>
  <c r="C16" i="14" l="1"/>
  <c r="E16" i="14" s="1"/>
  <c r="B11" i="14"/>
  <c r="B36" i="14"/>
  <c r="D3" i="14"/>
  <c r="B36" i="15"/>
  <c r="D3" i="15"/>
  <c r="E11" i="14"/>
  <c r="H13" i="14" s="1"/>
  <c r="B34" i="15"/>
  <c r="A6" i="14"/>
  <c r="A11" i="14" s="1"/>
  <c r="B34" i="14"/>
  <c r="E23" i="14"/>
  <c r="H25" i="14" s="1"/>
  <c r="C25" i="14"/>
  <c r="E25" i="14" s="1"/>
  <c r="E5" i="14"/>
  <c r="H7" i="14" s="1"/>
  <c r="C7" i="14"/>
  <c r="E7" i="14" s="1"/>
  <c r="C19" i="14"/>
  <c r="E19" i="14" s="1"/>
  <c r="E18" i="14" s="1"/>
  <c r="B18" i="14" s="1"/>
  <c r="G17" i="14"/>
  <c r="G11" i="14"/>
  <c r="E14" i="14"/>
  <c r="H16" i="14" s="1"/>
  <c r="E15" i="14"/>
  <c r="B15" i="14" s="1"/>
  <c r="G14" i="14"/>
  <c r="B28" i="14"/>
  <c r="F21" i="14"/>
  <c r="F22" i="14" s="1"/>
  <c r="B8" i="14"/>
  <c r="G23" i="14"/>
  <c r="C10" i="14"/>
  <c r="E10" i="14" s="1"/>
  <c r="E9" i="14" s="1"/>
  <c r="B17" i="14"/>
  <c r="E20" i="14"/>
  <c r="H22" i="14" s="1"/>
  <c r="C22" i="14"/>
  <c r="E22" i="14" s="1"/>
  <c r="E21" i="14" s="1"/>
  <c r="B21" i="14" s="1"/>
  <c r="E8" i="14"/>
  <c r="H10" i="14" s="1"/>
  <c r="B5" i="14"/>
  <c r="G20" i="14"/>
  <c r="C13" i="14"/>
  <c r="E13" i="14" s="1"/>
  <c r="E12" i="14" s="1"/>
  <c r="B12" i="14" s="1"/>
  <c r="G8" i="14"/>
  <c r="B14" i="14"/>
  <c r="E17" i="14"/>
  <c r="H19" i="14" s="1"/>
  <c r="A20" i="14" l="1"/>
  <c r="A7" i="14"/>
  <c r="A17" i="14"/>
  <c r="A14" i="14"/>
  <c r="A5" i="14"/>
  <c r="B7" i="14" s="1"/>
  <c r="A8" i="14"/>
  <c r="B23" i="14"/>
  <c r="A28" i="14"/>
  <c r="F6" i="14" s="1"/>
  <c r="F7" i="14" s="1"/>
  <c r="E24" i="14"/>
  <c r="B24" i="14" s="1"/>
  <c r="B20" i="14"/>
  <c r="G26" i="14"/>
  <c r="E34" i="14" s="1"/>
  <c r="E26" i="14"/>
  <c r="G25" i="14"/>
  <c r="E6" i="14"/>
  <c r="B6" i="14" s="1"/>
  <c r="B9" i="14"/>
  <c r="E36" i="14"/>
  <c r="D36" i="14" s="1"/>
  <c r="B29" i="14"/>
  <c r="E29" i="14" s="1"/>
  <c r="F5" i="14" l="1"/>
  <c r="E31" i="14"/>
  <c r="E32" i="14"/>
  <c r="E30" i="14"/>
  <c r="C24" i="15" l="1"/>
  <c r="F24" i="15" s="1"/>
  <c r="C23" i="15"/>
  <c r="C21" i="15"/>
  <c r="C20" i="15"/>
  <c r="H26" i="15"/>
  <c r="E35" i="15" s="1"/>
  <c r="H26" i="12"/>
  <c r="E35" i="12" s="1"/>
  <c r="D25" i="12"/>
  <c r="E25" i="12"/>
  <c r="G23" i="12"/>
  <c r="E23" i="12"/>
  <c r="H25" i="12" s="1"/>
  <c r="D22" i="12"/>
  <c r="C22" i="12"/>
  <c r="B20" i="12" s="1"/>
  <c r="G20" i="12"/>
  <c r="E20" i="12"/>
  <c r="H22" i="12" s="1"/>
  <c r="D19" i="12"/>
  <c r="C19" i="12"/>
  <c r="E19" i="12" s="1"/>
  <c r="G17" i="12"/>
  <c r="E17" i="12"/>
  <c r="H19" i="12" s="1"/>
  <c r="B17" i="12"/>
  <c r="E16" i="12"/>
  <c r="G14" i="12"/>
  <c r="E14" i="12"/>
  <c r="H16" i="12" s="1"/>
  <c r="B14" i="12"/>
  <c r="E13" i="12"/>
  <c r="E12" i="12" s="1"/>
  <c r="B12" i="12" s="1"/>
  <c r="G11" i="12"/>
  <c r="E11" i="12"/>
  <c r="B11" i="12"/>
  <c r="E10" i="12"/>
  <c r="G8" i="12"/>
  <c r="E8" i="12"/>
  <c r="H10" i="12" s="1"/>
  <c r="B8" i="12"/>
  <c r="E7" i="12"/>
  <c r="E5" i="12"/>
  <c r="B5" i="12"/>
  <c r="C25" i="15" l="1"/>
  <c r="E25" i="15" s="1"/>
  <c r="E24" i="15" s="1"/>
  <c r="B24" i="15" s="1"/>
  <c r="D25" i="15"/>
  <c r="B29" i="12"/>
  <c r="E26" i="12"/>
  <c r="E18" i="12"/>
  <c r="B18" i="12" s="1"/>
  <c r="B36" i="12"/>
  <c r="G8" i="15"/>
  <c r="E23" i="15"/>
  <c r="H25" i="15" s="1"/>
  <c r="G23" i="15"/>
  <c r="B5" i="15"/>
  <c r="E14" i="15"/>
  <c r="H16" i="15" s="1"/>
  <c r="B8" i="15"/>
  <c r="A6" i="12"/>
  <c r="A28" i="12" s="1"/>
  <c r="G17" i="15"/>
  <c r="E8" i="15"/>
  <c r="H10" i="15" s="1"/>
  <c r="B14" i="15"/>
  <c r="E10" i="15"/>
  <c r="E9" i="15" s="1"/>
  <c r="B9" i="15" s="1"/>
  <c r="G11" i="15"/>
  <c r="E5" i="15"/>
  <c r="H7" i="15" s="1"/>
  <c r="E20" i="15"/>
  <c r="H22" i="15" s="1"/>
  <c r="E7" i="15"/>
  <c r="F21" i="15"/>
  <c r="F22" i="15" s="1"/>
  <c r="C22" i="15"/>
  <c r="E22" i="15" s="1"/>
  <c r="E21" i="15" s="1"/>
  <c r="E13" i="15"/>
  <c r="G14" i="15"/>
  <c r="E16" i="15"/>
  <c r="E15" i="15" s="1"/>
  <c r="B15" i="15" s="1"/>
  <c r="G20" i="15"/>
  <c r="B17" i="15"/>
  <c r="C19" i="15"/>
  <c r="E19" i="15" s="1"/>
  <c r="E17" i="15"/>
  <c r="H19" i="15" s="1"/>
  <c r="B11" i="15"/>
  <c r="E11" i="15"/>
  <c r="B23" i="15"/>
  <c r="E22" i="12"/>
  <c r="E21" i="12" s="1"/>
  <c r="G26" i="12"/>
  <c r="E9" i="12"/>
  <c r="E15" i="12"/>
  <c r="B15" i="12" s="1"/>
  <c r="E6" i="12"/>
  <c r="B6" i="12" s="1"/>
  <c r="E24" i="12"/>
  <c r="B24" i="12" s="1"/>
  <c r="H13" i="12"/>
  <c r="B23" i="12"/>
  <c r="H7" i="12"/>
  <c r="D1" i="14"/>
  <c r="B2" i="14"/>
  <c r="B1" i="14"/>
  <c r="A9" i="14"/>
  <c r="E29" i="12" l="1"/>
  <c r="E32" i="12"/>
  <c r="A17" i="12"/>
  <c r="A10" i="14"/>
  <c r="A29" i="14"/>
  <c r="B10" i="14"/>
  <c r="A23" i="14"/>
  <c r="A12" i="14"/>
  <c r="B9" i="12"/>
  <c r="H13" i="15"/>
  <c r="B29" i="15"/>
  <c r="B21" i="12"/>
  <c r="A6" i="15"/>
  <c r="A8" i="15" s="1"/>
  <c r="E18" i="15"/>
  <c r="B18" i="15" s="1"/>
  <c r="A11" i="12"/>
  <c r="G25" i="12"/>
  <c r="A20" i="12"/>
  <c r="A8" i="12"/>
  <c r="A9" i="12"/>
  <c r="A5" i="12"/>
  <c r="B7" i="12" s="1"/>
  <c r="A14" i="12"/>
  <c r="A7" i="12"/>
  <c r="F5" i="12" s="1"/>
  <c r="E6" i="15"/>
  <c r="B6" i="15" s="1"/>
  <c r="B20" i="15"/>
  <c r="G26" i="15"/>
  <c r="E34" i="15" s="1"/>
  <c r="E12" i="15"/>
  <c r="E26" i="15"/>
  <c r="E32" i="15" s="1"/>
  <c r="B21" i="15"/>
  <c r="E34" i="12"/>
  <c r="A9" i="15" l="1"/>
  <c r="A12" i="15" s="1"/>
  <c r="A30" i="15" s="1"/>
  <c r="A5" i="15"/>
  <c r="B7" i="15" s="1"/>
  <c r="A29" i="12"/>
  <c r="A10" i="12"/>
  <c r="A30" i="14"/>
  <c r="B13" i="14"/>
  <c r="A13" i="14"/>
  <c r="A15" i="14"/>
  <c r="F8" i="14"/>
  <c r="F9" i="14"/>
  <c r="F10" i="14" s="1"/>
  <c r="E29" i="15"/>
  <c r="E31" i="15"/>
  <c r="E30" i="15"/>
  <c r="B12" i="15"/>
  <c r="E36" i="15"/>
  <c r="D36" i="15" s="1"/>
  <c r="A28" i="15"/>
  <c r="B28" i="15"/>
  <c r="A7" i="15"/>
  <c r="A14" i="15"/>
  <c r="A17" i="15"/>
  <c r="A20" i="15"/>
  <c r="A11" i="15"/>
  <c r="F8" i="12"/>
  <c r="A12" i="12"/>
  <c r="A30" i="12" s="1"/>
  <c r="B10" i="12"/>
  <c r="A23" i="12"/>
  <c r="E30" i="12"/>
  <c r="E31" i="12"/>
  <c r="A13" i="15" l="1"/>
  <c r="A10" i="15"/>
  <c r="A15" i="15"/>
  <c r="B16" i="15" s="1"/>
  <c r="B13" i="15"/>
  <c r="A29" i="15"/>
  <c r="B10" i="15"/>
  <c r="A23" i="15"/>
  <c r="F9" i="12"/>
  <c r="F10" i="12" s="1"/>
  <c r="F8" i="15"/>
  <c r="F9" i="15"/>
  <c r="F10" i="15" s="1"/>
  <c r="B16" i="14"/>
  <c r="A16" i="14"/>
  <c r="A31" i="14"/>
  <c r="A18" i="14"/>
  <c r="F11" i="14"/>
  <c r="F12" i="14"/>
  <c r="F13" i="14" s="1"/>
  <c r="F11" i="15"/>
  <c r="F12" i="15"/>
  <c r="F13" i="15" s="1"/>
  <c r="F5" i="15"/>
  <c r="F6" i="15"/>
  <c r="F7" i="15" s="1"/>
  <c r="A16" i="15"/>
  <c r="A18" i="15"/>
  <c r="B19" i="15" s="1"/>
  <c r="A13" i="12"/>
  <c r="B13" i="12"/>
  <c r="A15" i="12"/>
  <c r="A31" i="15" l="1"/>
  <c r="F15" i="15" s="1"/>
  <c r="F16" i="15" s="1"/>
  <c r="A21" i="14"/>
  <c r="F28" i="14"/>
  <c r="B19" i="14"/>
  <c r="A19" i="14"/>
  <c r="A32" i="14"/>
  <c r="F14" i="14"/>
  <c r="F15" i="14"/>
  <c r="F16" i="14" s="1"/>
  <c r="F11" i="12"/>
  <c r="F12" i="12"/>
  <c r="F13" i="12" s="1"/>
  <c r="A21" i="15"/>
  <c r="A24" i="15" s="1"/>
  <c r="A34" i="15" s="1"/>
  <c r="F28" i="15"/>
  <c r="A32" i="15"/>
  <c r="F14" i="15"/>
  <c r="A19" i="15"/>
  <c r="B16" i="12"/>
  <c r="A16" i="12"/>
  <c r="A18" i="12"/>
  <c r="F17" i="14" l="1"/>
  <c r="F18" i="14"/>
  <c r="F19" i="14" s="1"/>
  <c r="A24" i="14"/>
  <c r="A22" i="14"/>
  <c r="F20" i="14" s="1"/>
  <c r="B22" i="14"/>
  <c r="A33" i="14"/>
  <c r="G28" i="14"/>
  <c r="F17" i="15"/>
  <c r="F18" i="15"/>
  <c r="F19" i="15" s="1"/>
  <c r="A33" i="15"/>
  <c r="G28" i="15"/>
  <c r="B22" i="15"/>
  <c r="A22" i="15"/>
  <c r="F20" i="15" s="1"/>
  <c r="A21" i="12"/>
  <c r="B19" i="12"/>
  <c r="A19" i="12"/>
  <c r="F17" i="12" s="1"/>
  <c r="B25" i="15"/>
  <c r="A25" i="15"/>
  <c r="A25" i="14" l="1"/>
  <c r="A34" i="14"/>
  <c r="B25" i="14"/>
  <c r="E38" i="14" s="1"/>
  <c r="E38" i="15"/>
  <c r="A24" i="12"/>
  <c r="A22" i="12"/>
  <c r="F20" i="12" s="1"/>
  <c r="B22" i="12"/>
  <c r="F25" i="15"/>
  <c r="F25" i="14" l="1"/>
  <c r="B25" i="12"/>
  <c r="E38" i="12" s="1"/>
  <c r="A25" i="12"/>
  <c r="F26" i="15"/>
  <c r="E33" i="15" s="1"/>
  <c r="B28" i="12"/>
  <c r="F26" i="14" l="1"/>
  <c r="E33" i="14" s="1"/>
  <c r="F25" i="12"/>
  <c r="F6" i="12" l="1"/>
  <c r="F7" i="12" l="1"/>
  <c r="A31" i="12" l="1"/>
  <c r="F15" i="12" s="1"/>
  <c r="F16" i="12" s="1"/>
  <c r="G28" i="12"/>
  <c r="F28" i="12"/>
  <c r="A34" i="12"/>
  <c r="A32" i="12"/>
  <c r="F18" i="12" s="1"/>
  <c r="F19" i="12" s="1"/>
  <c r="A33" i="12"/>
  <c r="F14" i="12" l="1"/>
  <c r="F26" i="12" l="1"/>
  <c r="E33" i="12" s="1"/>
</calcChain>
</file>

<file path=xl/sharedStrings.xml><?xml version="1.0" encoding="utf-8"?>
<sst xmlns="http://schemas.openxmlformats.org/spreadsheetml/2006/main" count="121" uniqueCount="57">
  <si>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</si>
  <si>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</si>
  <si>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</si>
  <si>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</si>
  <si>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</si>
  <si>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</si>
  <si>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</si>
  <si>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</si>
  <si>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</si>
  <si>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</si>
  <si>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Heures de nuit :</t>
  </si>
  <si>
    <t>à</t>
  </si>
  <si>
    <t>Production Audiovisuelle</t>
  </si>
  <si>
    <t xml:space="preserve">Remplir la partie "infos" à titre indicatif: Semaine, Prod, Film etc... </t>
  </si>
  <si>
    <t>TV FILM/SERIE :</t>
  </si>
  <si>
    <t>Spécial</t>
  </si>
  <si>
    <t>Puis remplir les horaires de travail effectifs soit : arrivée sur le plateau et fermeture du camion en fin de journée.</t>
  </si>
  <si>
    <t>Il faut respecter le format  "hh:mm" par exemple 20:00 pour 20h00.</t>
  </si>
  <si>
    <t>Indiquer également les heures de début et de fin de repas (la feuille prend en compte les journées continues</t>
  </si>
  <si>
    <t>et les coupures réduites le cas écheant).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</si>
  <si>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</si>
  <si>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</si>
  <si>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</si>
  <si>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</si>
  <si>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John Smith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</si>
  <si>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</si>
  <si>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</si>
  <si>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</si>
  <si>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</si>
  <si>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</si>
  <si>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La feuille prend en compte la période des heures de nuit (été ou hiver) en se basant sur les dates de la</t>
  </si>
  <si>
    <t>Heure Coupure Repas                      Début / Fin</t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</si>
  <si>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</si>
  <si>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</si>
  <si>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</si>
  <si>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t>Heures SEMAINE</t>
  </si>
  <si>
    <t>HEURES SIMPLES</t>
  </si>
  <si>
    <t>de 35h à 43h (8h)</t>
  </si>
  <si>
    <t>HEURES SUP +25 %</t>
  </si>
  <si>
    <t>HEURES SUP +50 %</t>
  </si>
  <si>
    <t>HEURES DE TRANSPORT</t>
  </si>
  <si>
    <t>(Semaine 35h mini)</t>
  </si>
  <si>
    <t>au-delà de 43h</t>
  </si>
  <si>
    <t>HEURES SEMAINE :</t>
  </si>
  <si>
    <t>HEURES DE NUIT</t>
  </si>
  <si>
    <t>HEURES ANTICIPEES</t>
  </si>
  <si>
    <t>HEURES DIMANCHE</t>
  </si>
  <si>
    <t>HEURES JOUR FERIE</t>
  </si>
  <si>
    <t>Matrice d'heures USPA "Heures seules" - AOA - Version 2.0 - MaJ du 02/06/2024</t>
  </si>
  <si>
    <t>Par exemple : saisir =DATE(2024;6;3) pour une semaine allant du 03/06/2024 au 09/06/2024.</t>
  </si>
  <si>
    <r>
      <t xml:space="preserve">Rentrer la date du début de la semaine de travail </t>
    </r>
    <r>
      <rPr>
        <b/>
        <sz val="11"/>
        <rFont val="Century Gothic"/>
        <family val="1"/>
      </rPr>
      <t>en respectant le Format "=DATE(aaaa;m;j)"</t>
    </r>
  </si>
  <si>
    <t>La feuille générera elle-même la date de fin semaine et les jours correspondants.</t>
  </si>
  <si>
    <t>Semaine N°</t>
  </si>
  <si>
    <t>"Production"</t>
  </si>
  <si>
    <t xml:space="preserve">Version 2.0 : Développement sous Excel 2019 </t>
  </si>
  <si>
    <t>Chaque feuille correspond à un poste différent (1er assistant OPV, 2nd assistant OPV, assistant OPV adjoint).</t>
  </si>
  <si>
    <t>"Film"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</si>
</sst>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_€_ ;_ * \(#,##0.00\)\ _€_ ;_ * &quot;-&quot;??_)\ _€_ ;_ @_ "/>
    <numFmt numFmtId="165" formatCode="[h]:mm"/>
    <numFmt numFmtId="166" formatCode="h:mm;@"/>
  </numFmts>
  <fonts count="49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2"/>
      <color theme="3" tint="0.79998168889431442"/>
      <name val="Arial"/>
      <family val="2"/>
    </font>
    <font>
      <sz val="9"/>
      <name val="Century Gothic"/>
      <family val="1"/>
    </font>
    <font>
      <sz val="20"/>
      <name val="Century Gothic"/>
      <family val="1"/>
    </font>
    <font>
      <b/>
      <sz val="20"/>
      <name val="Century Gothic"/>
      <family val="1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i/>
      <sz val="12"/>
      <name val="Geneva"/>
      <family val="2"/>
    </font>
    <font>
      <sz val="11"/>
      <color theme="0"/>
      <name val="Arial"/>
      <family val="2"/>
    </font>
    <font>
      <i/>
      <sz val="11"/>
      <name val="Century Gothic"/>
      <family val="1"/>
    </font>
    <font>
      <sz val="11"/>
      <name val="Century Gothic"/>
      <family val="1"/>
    </font>
    <font>
      <sz val="11"/>
      <name val="Geneva"/>
      <family val="2"/>
    </font>
    <font>
      <b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  <font>
      <b/>
      <u/>
      <sz val="9"/>
      <color theme="6" tint="-0.499984740745262"/>
      <name val="Arial"/>
      <family val="2"/>
    </font>
    <font>
      <b/>
      <sz val="12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i/>
      <sz val="11"/>
      <name val="Geneva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32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1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20" fontId="6" fillId="9" borderId="2" xfId="0" applyNumberFormat="1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top"/>
    </xf>
    <xf numFmtId="49" fontId="9" fillId="3" borderId="1" xfId="0" applyNumberFormat="1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top"/>
    </xf>
    <xf numFmtId="49" fontId="9" fillId="3" borderId="3" xfId="0" applyNumberFormat="1" applyFont="1" applyFill="1" applyBorder="1" applyAlignment="1">
      <alignment horizontal="center" vertical="top" wrapText="1"/>
    </xf>
    <xf numFmtId="49" fontId="9" fillId="3" borderId="15" xfId="0" applyNumberFormat="1" applyFont="1" applyFill="1" applyBorder="1" applyAlignment="1">
      <alignment horizontal="center" vertical="top" wrapText="1"/>
    </xf>
    <xf numFmtId="0" fontId="16" fillId="9" borderId="11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left" vertical="center"/>
    </xf>
    <xf numFmtId="0" fontId="17" fillId="8" borderId="14" xfId="0" applyFont="1" applyFill="1" applyBorder="1" applyAlignment="1">
      <alignment horizontal="left" vertical="top"/>
    </xf>
    <xf numFmtId="166" fontId="18" fillId="0" borderId="16" xfId="0" applyNumberFormat="1" applyFont="1" applyBorder="1"/>
    <xf numFmtId="20" fontId="21" fillId="3" borderId="2" xfId="0" applyNumberFormat="1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right" vertical="center"/>
    </xf>
    <xf numFmtId="0" fontId="23" fillId="5" borderId="6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right" vertical="top"/>
    </xf>
    <xf numFmtId="165" fontId="6" fillId="9" borderId="2" xfId="0" applyNumberFormat="1" applyFont="1" applyFill="1" applyBorder="1" applyAlignment="1">
      <alignment horizontal="center" vertical="center"/>
    </xf>
    <xf numFmtId="165" fontId="24" fillId="9" borderId="2" xfId="0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0" fillId="3" borderId="14" xfId="0" applyFill="1" applyBorder="1"/>
    <xf numFmtId="0" fontId="28" fillId="6" borderId="14" xfId="0" applyFont="1" applyFill="1" applyBorder="1"/>
    <xf numFmtId="0" fontId="28" fillId="0" borderId="0" xfId="0" applyFont="1"/>
    <xf numFmtId="0" fontId="29" fillId="4" borderId="14" xfId="0" applyFont="1" applyFill="1" applyBorder="1"/>
    <xf numFmtId="0" fontId="17" fillId="5" borderId="6" xfId="0" applyFont="1" applyFill="1" applyBorder="1" applyAlignment="1" applyProtection="1">
      <alignment horizontal="left" vertical="center"/>
      <protection locked="0"/>
    </xf>
    <xf numFmtId="0" fontId="17" fillId="8" borderId="0" xfId="0" applyFont="1" applyFill="1" applyAlignment="1" applyProtection="1">
      <alignment horizontal="left" vertical="center"/>
      <protection locked="0"/>
    </xf>
    <xf numFmtId="0" fontId="30" fillId="0" borderId="0" xfId="0" applyFont="1"/>
    <xf numFmtId="0" fontId="30" fillId="9" borderId="14" xfId="0" applyFont="1" applyFill="1" applyBorder="1"/>
    <xf numFmtId="165" fontId="5" fillId="9" borderId="16" xfId="0" applyNumberFormat="1" applyFont="1" applyFill="1" applyBorder="1" applyAlignment="1" applyProtection="1">
      <alignment horizontal="center" vertical="center"/>
      <protection locked="0"/>
    </xf>
    <xf numFmtId="166" fontId="5" fillId="9" borderId="16" xfId="0" applyNumberFormat="1" applyFont="1" applyFill="1" applyBorder="1" applyAlignment="1" applyProtection="1">
      <alignment horizontal="center" vertical="center"/>
      <protection locked="0"/>
    </xf>
    <xf numFmtId="0" fontId="29" fillId="6" borderId="14" xfId="0" applyFont="1" applyFill="1" applyBorder="1"/>
    <xf numFmtId="0" fontId="28" fillId="8" borderId="14" xfId="0" applyFont="1" applyFill="1" applyBorder="1"/>
    <xf numFmtId="0" fontId="28" fillId="9" borderId="14" xfId="0" applyFont="1" applyFill="1" applyBorder="1"/>
    <xf numFmtId="0" fontId="30" fillId="9" borderId="18" xfId="0" applyFont="1" applyFill="1" applyBorder="1"/>
    <xf numFmtId="0" fontId="23" fillId="8" borderId="0" xfId="0" applyFont="1" applyFill="1" applyAlignment="1">
      <alignment horizontal="right" vertical="center"/>
    </xf>
    <xf numFmtId="0" fontId="17" fillId="8" borderId="14" xfId="0" applyFont="1" applyFill="1" applyBorder="1" applyAlignment="1">
      <alignment horizontal="left" vertical="center"/>
    </xf>
    <xf numFmtId="14" fontId="17" fillId="8" borderId="14" xfId="0" applyNumberFormat="1" applyFont="1" applyFill="1" applyBorder="1" applyAlignment="1" applyProtection="1">
      <alignment horizontal="center" vertical="center"/>
      <protection locked="0"/>
    </xf>
    <xf numFmtId="0" fontId="17" fillId="5" borderId="13" xfId="0" applyFont="1" applyFill="1" applyBorder="1" applyAlignment="1" applyProtection="1">
      <alignment horizontal="center" vertical="center"/>
      <protection locked="0"/>
    </xf>
    <xf numFmtId="14" fontId="6" fillId="9" borderId="11" xfId="0" applyNumberFormat="1" applyFont="1" applyFill="1" applyBorder="1" applyAlignment="1">
      <alignment horizontal="center" vertical="center"/>
    </xf>
    <xf numFmtId="165" fontId="22" fillId="9" borderId="4" xfId="0" applyNumberFormat="1" applyFont="1" applyFill="1" applyBorder="1" applyAlignment="1" applyProtection="1">
      <alignment horizontal="center" vertical="center"/>
      <protection locked="0"/>
    </xf>
    <xf numFmtId="20" fontId="21" fillId="3" borderId="4" xfId="0" applyNumberFormat="1" applyFont="1" applyFill="1" applyBorder="1" applyAlignment="1">
      <alignment horizontal="center" vertical="center"/>
    </xf>
    <xf numFmtId="165" fontId="22" fillId="9" borderId="4" xfId="31" applyNumberFormat="1" applyFont="1" applyFill="1" applyBorder="1" applyAlignment="1" applyProtection="1">
      <alignment horizontal="center" vertical="center"/>
      <protection locked="0"/>
    </xf>
    <xf numFmtId="165" fontId="6" fillId="3" borderId="2" xfId="0" applyNumberFormat="1" applyFont="1" applyFill="1" applyBorder="1" applyAlignment="1">
      <alignment horizontal="center" vertical="center"/>
    </xf>
    <xf numFmtId="165" fontId="21" fillId="3" borderId="11" xfId="0" applyNumberFormat="1" applyFont="1" applyFill="1" applyBorder="1" applyAlignment="1">
      <alignment horizontal="center" vertical="center"/>
    </xf>
    <xf numFmtId="21" fontId="6" fillId="11" borderId="2" xfId="0" applyNumberFormat="1" applyFont="1" applyFill="1" applyBorder="1" applyAlignment="1">
      <alignment horizontal="center" vertical="center"/>
    </xf>
    <xf numFmtId="165" fontId="32" fillId="3" borderId="2" xfId="0" applyNumberFormat="1" applyFont="1" applyFill="1" applyBorder="1" applyAlignment="1">
      <alignment horizontal="center" vertical="center"/>
    </xf>
    <xf numFmtId="165" fontId="21" fillId="3" borderId="2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28" fillId="3" borderId="14" xfId="0" applyFont="1" applyFill="1" applyBorder="1"/>
    <xf numFmtId="0" fontId="0" fillId="3" borderId="0" xfId="0" applyFill="1"/>
    <xf numFmtId="0" fontId="30" fillId="3" borderId="14" xfId="0" applyFont="1" applyFill="1" applyBorder="1"/>
    <xf numFmtId="0" fontId="30" fillId="3" borderId="0" xfId="0" applyFont="1" applyFill="1"/>
    <xf numFmtId="0" fontId="29" fillId="3" borderId="14" xfId="0" applyFont="1" applyFill="1" applyBorder="1"/>
    <xf numFmtId="0" fontId="28" fillId="3" borderId="0" xfId="0" applyFont="1" applyFill="1"/>
    <xf numFmtId="0" fontId="27" fillId="3" borderId="11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0" fillId="3" borderId="14" xfId="0" applyFill="1" applyBorder="1" applyAlignment="1">
      <alignment vertical="center"/>
    </xf>
    <xf numFmtId="0" fontId="17" fillId="8" borderId="0" xfId="0" applyFont="1" applyFill="1" applyAlignment="1">
      <alignment horizontal="left" vertical="top"/>
    </xf>
    <xf numFmtId="0" fontId="17" fillId="8" borderId="0" xfId="0" applyFont="1" applyFill="1" applyAlignment="1">
      <alignment horizontal="left" vertical="center"/>
    </xf>
    <xf numFmtId="0" fontId="17" fillId="5" borderId="6" xfId="0" applyFont="1" applyFill="1" applyBorder="1" applyAlignment="1">
      <alignment horizontal="left" vertical="center"/>
    </xf>
    <xf numFmtId="20" fontId="5" fillId="9" borderId="2" xfId="0" applyNumberFormat="1" applyFont="1" applyFill="1" applyBorder="1" applyAlignment="1" applyProtection="1">
      <alignment horizontal="center" vertical="center"/>
      <protection locked="0"/>
    </xf>
    <xf numFmtId="0" fontId="23" fillId="5" borderId="6" xfId="0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center" vertical="center"/>
    </xf>
    <xf numFmtId="20" fontId="32" fillId="3" borderId="2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3" fillId="12" borderId="10" xfId="0" applyFont="1" applyFill="1" applyBorder="1" applyAlignment="1">
      <alignment horizontal="center"/>
    </xf>
    <xf numFmtId="0" fontId="34" fillId="3" borderId="12" xfId="0" applyFont="1" applyFill="1" applyBorder="1"/>
    <xf numFmtId="0" fontId="34" fillId="3" borderId="6" xfId="0" applyFont="1" applyFill="1" applyBorder="1"/>
    <xf numFmtId="0" fontId="34" fillId="3" borderId="13" xfId="0" applyFont="1" applyFill="1" applyBorder="1"/>
    <xf numFmtId="0" fontId="0" fillId="3" borderId="11" xfId="0" applyFill="1" applyBorder="1"/>
    <xf numFmtId="165" fontId="35" fillId="3" borderId="11" xfId="0" applyNumberFormat="1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vertical="center"/>
    </xf>
    <xf numFmtId="0" fontId="37" fillId="3" borderId="0" xfId="0" applyFont="1" applyFill="1" applyAlignment="1">
      <alignment vertical="center"/>
    </xf>
    <xf numFmtId="0" fontId="38" fillId="3" borderId="14" xfId="0" applyFont="1" applyFill="1" applyBorder="1" applyAlignment="1">
      <alignment vertical="center"/>
    </xf>
    <xf numFmtId="0" fontId="37" fillId="8" borderId="11" xfId="0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0" fontId="37" fillId="8" borderId="14" xfId="0" applyFont="1" applyFill="1" applyBorder="1" applyAlignment="1">
      <alignment vertical="center"/>
    </xf>
    <xf numFmtId="0" fontId="37" fillId="3" borderId="11" xfId="0" applyFont="1" applyFill="1" applyBorder="1" applyAlignment="1">
      <alignment vertical="center"/>
    </xf>
    <xf numFmtId="0" fontId="37" fillId="3" borderId="14" xfId="0" applyFont="1" applyFill="1" applyBorder="1" applyAlignment="1">
      <alignment vertical="center"/>
    </xf>
    <xf numFmtId="0" fontId="37" fillId="9" borderId="11" xfId="0" applyFont="1" applyFill="1" applyBorder="1" applyAlignment="1">
      <alignment vertical="center"/>
    </xf>
    <xf numFmtId="0" fontId="37" fillId="9" borderId="0" xfId="0" applyFont="1" applyFill="1" applyAlignment="1">
      <alignment vertical="center"/>
    </xf>
    <xf numFmtId="0" fontId="37" fillId="9" borderId="14" xfId="0" applyFont="1" applyFill="1" applyBorder="1" applyAlignment="1">
      <alignment vertical="center"/>
    </xf>
    <xf numFmtId="0" fontId="39" fillId="9" borderId="11" xfId="0" applyFont="1" applyFill="1" applyBorder="1" applyAlignment="1">
      <alignment vertical="center"/>
    </xf>
    <xf numFmtId="0" fontId="40" fillId="6" borderId="11" xfId="0" applyFont="1" applyFill="1" applyBorder="1" applyAlignment="1">
      <alignment vertical="center"/>
    </xf>
    <xf numFmtId="0" fontId="41" fillId="6" borderId="0" xfId="0" applyFont="1" applyFill="1" applyAlignment="1">
      <alignment vertical="center"/>
    </xf>
    <xf numFmtId="0" fontId="41" fillId="6" borderId="14" xfId="0" applyFont="1" applyFill="1" applyBorder="1" applyAlignment="1">
      <alignment vertical="center"/>
    </xf>
    <xf numFmtId="0" fontId="40" fillId="3" borderId="11" xfId="0" applyFont="1" applyFill="1" applyBorder="1" applyAlignment="1">
      <alignment vertical="center"/>
    </xf>
    <xf numFmtId="0" fontId="41" fillId="3" borderId="0" xfId="0" applyFont="1" applyFill="1" applyAlignment="1">
      <alignment vertical="center"/>
    </xf>
    <xf numFmtId="0" fontId="41" fillId="3" borderId="14" xfId="0" applyFont="1" applyFill="1" applyBorder="1" applyAlignment="1">
      <alignment vertical="center"/>
    </xf>
    <xf numFmtId="0" fontId="43" fillId="9" borderId="0" xfId="0" applyFont="1" applyFill="1" applyAlignment="1">
      <alignment vertical="center"/>
    </xf>
    <xf numFmtId="0" fontId="43" fillId="9" borderId="14" xfId="0" applyFont="1" applyFill="1" applyBorder="1" applyAlignment="1">
      <alignment vertical="center"/>
    </xf>
    <xf numFmtId="165" fontId="8" fillId="4" borderId="2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0" fontId="2" fillId="0" borderId="12" xfId="0" applyFont="1" applyBorder="1"/>
    <xf numFmtId="0" fontId="2" fillId="3" borderId="13" xfId="0" applyFont="1" applyFill="1" applyBorder="1" applyAlignment="1">
      <alignment vertical="center"/>
    </xf>
    <xf numFmtId="165" fontId="18" fillId="3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165" fontId="5" fillId="3" borderId="21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right" vertical="center"/>
    </xf>
    <xf numFmtId="165" fontId="7" fillId="2" borderId="22" xfId="0" applyNumberFormat="1" applyFont="1" applyFill="1" applyBorder="1" applyAlignment="1">
      <alignment horizontal="center" vertical="center"/>
    </xf>
    <xf numFmtId="165" fontId="7" fillId="2" borderId="23" xfId="0" applyNumberFormat="1" applyFont="1" applyFill="1" applyBorder="1" applyAlignment="1">
      <alignment horizontal="center" vertical="center"/>
    </xf>
    <xf numFmtId="165" fontId="7" fillId="2" borderId="24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1" fillId="3" borderId="0" xfId="0" applyFont="1" applyFill="1" applyAlignment="1">
      <alignment horizontal="center"/>
    </xf>
    <xf numFmtId="0" fontId="1" fillId="3" borderId="11" xfId="0" applyFont="1" applyFill="1" applyBorder="1"/>
    <xf numFmtId="0" fontId="1" fillId="3" borderId="0" xfId="0" applyFont="1" applyFill="1"/>
    <xf numFmtId="0" fontId="1" fillId="3" borderId="14" xfId="0" applyFont="1" applyFill="1" applyBorder="1"/>
    <xf numFmtId="0" fontId="44" fillId="6" borderId="25" xfId="0" applyFont="1" applyFill="1" applyBorder="1" applyAlignment="1">
      <alignment vertical="center"/>
    </xf>
    <xf numFmtId="0" fontId="45" fillId="6" borderId="26" xfId="0" applyFont="1" applyFill="1" applyBorder="1" applyAlignment="1">
      <alignment horizontal="right" vertical="center"/>
    </xf>
    <xf numFmtId="0" fontId="46" fillId="13" borderId="27" xfId="0" applyFont="1" applyFill="1" applyBorder="1" applyAlignment="1">
      <alignment horizontal="left" vertical="center"/>
    </xf>
    <xf numFmtId="0" fontId="45" fillId="13" borderId="14" xfId="0" applyFont="1" applyFill="1" applyBorder="1" applyAlignment="1">
      <alignment horizontal="right" vertical="center"/>
    </xf>
    <xf numFmtId="0" fontId="46" fillId="6" borderId="27" xfId="0" applyFont="1" applyFill="1" applyBorder="1" applyAlignment="1">
      <alignment horizontal="left" vertical="center"/>
    </xf>
    <xf numFmtId="0" fontId="45" fillId="6" borderId="14" xfId="0" applyFont="1" applyFill="1" applyBorder="1" applyAlignment="1">
      <alignment horizontal="right" vertical="center"/>
    </xf>
    <xf numFmtId="0" fontId="47" fillId="10" borderId="27" xfId="0" applyFont="1" applyFill="1" applyBorder="1" applyAlignment="1">
      <alignment vertical="center"/>
    </xf>
    <xf numFmtId="0" fontId="11" fillId="10" borderId="14" xfId="0" applyFont="1" applyFill="1" applyBorder="1" applyAlignment="1">
      <alignment horizontal="right" vertical="center"/>
    </xf>
    <xf numFmtId="49" fontId="4" fillId="14" borderId="27" xfId="0" applyNumberFormat="1" applyFont="1" applyFill="1" applyBorder="1" applyAlignment="1">
      <alignment vertical="center"/>
    </xf>
    <xf numFmtId="0" fontId="11" fillId="14" borderId="14" xfId="0" applyFont="1" applyFill="1" applyBorder="1" applyAlignment="1">
      <alignment horizontal="right" vertical="center"/>
    </xf>
    <xf numFmtId="49" fontId="4" fillId="10" borderId="27" xfId="0" applyNumberFormat="1" applyFont="1" applyFill="1" applyBorder="1" applyAlignment="1">
      <alignment vertical="center"/>
    </xf>
    <xf numFmtId="0" fontId="1" fillId="14" borderId="28" xfId="0" applyFont="1" applyFill="1" applyBorder="1" applyAlignment="1">
      <alignment vertical="center"/>
    </xf>
    <xf numFmtId="0" fontId="11" fillId="4" borderId="19" xfId="0" applyFont="1" applyFill="1" applyBorder="1" applyAlignment="1">
      <alignment horizontal="right" vertical="center"/>
    </xf>
    <xf numFmtId="165" fontId="6" fillId="6" borderId="3" xfId="0" applyNumberFormat="1" applyFont="1" applyFill="1" applyBorder="1" applyAlignment="1">
      <alignment horizontal="center" vertical="center"/>
    </xf>
    <xf numFmtId="165" fontId="6" fillId="13" borderId="4" xfId="0" applyNumberFormat="1" applyFont="1" applyFill="1" applyBorder="1" applyAlignment="1">
      <alignment horizontal="center" vertical="center"/>
    </xf>
    <xf numFmtId="165" fontId="6" fillId="6" borderId="4" xfId="0" applyNumberFormat="1" applyFont="1" applyFill="1" applyBorder="1" applyAlignment="1">
      <alignment horizontal="center" vertical="center"/>
    </xf>
    <xf numFmtId="165" fontId="6" fillId="10" borderId="4" xfId="0" applyNumberFormat="1" applyFont="1" applyFill="1" applyBorder="1" applyAlignment="1">
      <alignment horizontal="center" vertical="center"/>
    </xf>
    <xf numFmtId="165" fontId="6" fillId="14" borderId="4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8" fillId="3" borderId="0" xfId="0" applyFont="1" applyFill="1"/>
    <xf numFmtId="0" fontId="1" fillId="3" borderId="19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right"/>
    </xf>
    <xf numFmtId="165" fontId="6" fillId="14" borderId="29" xfId="0" applyNumberFormat="1" applyFont="1" applyFill="1" applyBorder="1" applyAlignment="1">
      <alignment horizontal="center"/>
    </xf>
    <xf numFmtId="0" fontId="18" fillId="3" borderId="0" xfId="0" applyFont="1" applyFill="1" applyAlignment="1">
      <alignment horizontal="center" vertical="center"/>
    </xf>
    <xf numFmtId="165" fontId="18" fillId="3" borderId="11" xfId="0" applyNumberFormat="1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vertical="center"/>
    </xf>
    <xf numFmtId="0" fontId="12" fillId="3" borderId="25" xfId="0" applyFont="1" applyFill="1" applyBorder="1" applyAlignment="1">
      <alignment horizontal="center" vertical="center"/>
    </xf>
    <xf numFmtId="165" fontId="13" fillId="7" borderId="27" xfId="0" applyNumberFormat="1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165" fontId="13" fillId="7" borderId="28" xfId="0" applyNumberFormat="1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38" fillId="3" borderId="0" xfId="0" applyFont="1" applyFill="1" applyAlignment="1">
      <alignment vertical="center"/>
    </xf>
    <xf numFmtId="0" fontId="48" fillId="3" borderId="11" xfId="0" applyFont="1" applyFill="1" applyBorder="1" applyAlignment="1">
      <alignment vertical="center"/>
    </xf>
    <xf numFmtId="0" fontId="48" fillId="3" borderId="0" xfId="0" applyFont="1" applyFill="1" applyAlignment="1">
      <alignment vertical="center"/>
    </xf>
    <xf numFmtId="0" fontId="48" fillId="3" borderId="10" xfId="0" applyFont="1" applyFill="1" applyBorder="1" applyAlignment="1">
      <alignment vertical="center"/>
    </xf>
    <xf numFmtId="0" fontId="48" fillId="3" borderId="9" xfId="0" applyFont="1" applyFill="1" applyBorder="1" applyAlignment="1">
      <alignment vertical="center"/>
    </xf>
    <xf numFmtId="0" fontId="38" fillId="3" borderId="9" xfId="0" applyFont="1" applyFill="1" applyBorder="1" applyAlignment="1">
      <alignment vertical="center"/>
    </xf>
    <xf numFmtId="0" fontId="38" fillId="3" borderId="18" xfId="0" applyFont="1" applyFill="1" applyBorder="1" applyAlignment="1">
      <alignment vertical="center"/>
    </xf>
    <xf numFmtId="14" fontId="17" fillId="8" borderId="17" xfId="0" applyNumberFormat="1" applyFont="1" applyFill="1" applyBorder="1" applyAlignment="1">
      <alignment horizontal="center" vertical="center" wrapText="1"/>
    </xf>
    <xf numFmtId="165" fontId="5" fillId="9" borderId="16" xfId="0" applyNumberFormat="1" applyFont="1" applyFill="1" applyBorder="1" applyAlignment="1">
      <alignment horizontal="center" vertical="center"/>
    </xf>
    <xf numFmtId="166" fontId="5" fillId="9" borderId="16" xfId="0" applyNumberFormat="1" applyFont="1" applyFill="1" applyBorder="1" applyAlignment="1">
      <alignment horizontal="center" vertical="center"/>
    </xf>
    <xf numFmtId="20" fontId="5" fillId="9" borderId="16" xfId="0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47" fillId="10" borderId="30" xfId="0" applyFont="1" applyFill="1" applyBorder="1" applyAlignment="1">
      <alignment vertical="center"/>
    </xf>
    <xf numFmtId="0" fontId="11" fillId="10" borderId="13" xfId="0" applyFont="1" applyFill="1" applyBorder="1" applyAlignment="1">
      <alignment horizontal="right" vertical="center"/>
    </xf>
    <xf numFmtId="165" fontId="6" fillId="10" borderId="31" xfId="0" applyNumberFormat="1" applyFont="1" applyFill="1" applyBorder="1" applyAlignment="1">
      <alignment horizontal="center" vertical="center"/>
    </xf>
    <xf numFmtId="165" fontId="6" fillId="10" borderId="32" xfId="0" applyNumberFormat="1" applyFont="1" applyFill="1" applyBorder="1" applyAlignment="1">
      <alignment horizontal="center" vertical="center"/>
    </xf>
    <xf numFmtId="0" fontId="15" fillId="12" borderId="11" xfId="0" applyFont="1" applyFill="1" applyBorder="1" applyAlignment="1">
      <alignment horizontal="right" vertical="center"/>
    </xf>
    <xf numFmtId="0" fontId="15" fillId="12" borderId="14" xfId="0" applyFont="1" applyFill="1" applyBorder="1" applyAlignment="1">
      <alignment horizontal="right" vertical="center"/>
    </xf>
    <xf numFmtId="0" fontId="15" fillId="3" borderId="11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right" vertic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3"/>
  <sheetViews>
    <sheetView tabSelected="1" topLeftCell="A2" zoomScale="75" zoomScaleNormal="75" workbookViewId="0">
      <selection activeCell="N14" sqref="N14"/>
    </sheetView>
  </sheetViews>
  <sheetFormatPr baseColWidth="10" defaultRowHeight="11.4"/>
  <cols>
    <col min="11" max="11" width="20.625" customWidth="1"/>
    <col min="12" max="12" width="9.5" hidden="1" customWidth="1"/>
  </cols>
  <sheetData>
    <row r="1" spans="1:12" ht="18" customHeight="1">
      <c r="A1" s="74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23"/>
    </row>
    <row r="2" spans="1:12" ht="12" customHeight="1">
      <c r="A2" s="77"/>
      <c r="B2" s="53"/>
      <c r="C2" s="53"/>
      <c r="D2" s="53"/>
      <c r="E2" s="53"/>
      <c r="F2" s="53"/>
      <c r="G2" s="53"/>
      <c r="H2" s="53"/>
      <c r="I2" s="53"/>
      <c r="J2" s="53"/>
      <c r="K2" s="24"/>
      <c r="L2" s="24"/>
    </row>
    <row r="3" spans="1:12" ht="25.95" customHeight="1">
      <c r="A3" s="58" t="s">
        <v>20</v>
      </c>
      <c r="B3" s="59"/>
      <c r="C3" s="59"/>
      <c r="D3" s="59"/>
      <c r="E3" s="60"/>
      <c r="F3" s="60"/>
      <c r="G3" s="60"/>
      <c r="H3" s="60"/>
      <c r="I3" s="60"/>
      <c r="J3" s="60"/>
      <c r="K3" s="61"/>
      <c r="L3" s="24"/>
    </row>
    <row r="4" spans="1:12" ht="24" customHeight="1">
      <c r="A4" s="79" t="s">
        <v>55</v>
      </c>
      <c r="B4" s="80"/>
      <c r="C4" s="80"/>
      <c r="D4" s="80"/>
      <c r="E4" s="80"/>
      <c r="F4" s="80"/>
      <c r="G4" s="80"/>
      <c r="H4" s="80"/>
      <c r="I4" s="80"/>
      <c r="J4" s="80"/>
      <c r="K4" s="81"/>
      <c r="L4" s="24"/>
    </row>
    <row r="5" spans="1:12" ht="24" customHeight="1">
      <c r="A5" s="79"/>
      <c r="B5" s="80"/>
      <c r="C5" s="80"/>
      <c r="D5" s="80"/>
      <c r="E5" s="80"/>
      <c r="F5" s="80"/>
      <c r="G5" s="80"/>
      <c r="H5" s="80"/>
      <c r="I5" s="80"/>
      <c r="J5" s="80"/>
      <c r="K5" s="81"/>
      <c r="L5" s="24"/>
    </row>
    <row r="6" spans="1:12" ht="28.05" customHeight="1">
      <c r="A6" s="82" t="s">
        <v>13</v>
      </c>
      <c r="B6" s="83"/>
      <c r="C6" s="83"/>
      <c r="D6" s="83"/>
      <c r="E6" s="83"/>
      <c r="F6" s="83"/>
      <c r="G6" s="83"/>
      <c r="H6" s="83"/>
      <c r="I6" s="83"/>
      <c r="J6" s="83"/>
      <c r="K6" s="84"/>
      <c r="L6" s="35"/>
    </row>
    <row r="7" spans="1:12" ht="22.95" customHeight="1">
      <c r="A7" s="82" t="s">
        <v>50</v>
      </c>
      <c r="B7" s="83"/>
      <c r="C7" s="83"/>
      <c r="D7" s="83"/>
      <c r="E7" s="83"/>
      <c r="F7" s="83"/>
      <c r="G7" s="83"/>
      <c r="H7" s="83"/>
      <c r="I7" s="83"/>
      <c r="J7" s="83"/>
      <c r="K7" s="84"/>
      <c r="L7" s="35"/>
    </row>
    <row r="8" spans="1:12" ht="22.95" customHeight="1">
      <c r="A8" s="82" t="s">
        <v>51</v>
      </c>
      <c r="B8" s="83"/>
      <c r="C8" s="83"/>
      <c r="D8" s="83"/>
      <c r="E8" s="83"/>
      <c r="F8" s="83"/>
      <c r="G8" s="83"/>
      <c r="H8" s="83"/>
      <c r="I8" s="83"/>
      <c r="J8" s="83"/>
      <c r="K8" s="84"/>
      <c r="L8" s="35"/>
    </row>
    <row r="9" spans="1:12" ht="22.95" customHeight="1">
      <c r="A9" s="82"/>
      <c r="B9" s="83"/>
      <c r="C9" s="83"/>
      <c r="D9" s="83"/>
      <c r="E9" s="83"/>
      <c r="F9" s="83"/>
      <c r="G9" s="83"/>
      <c r="H9" s="83"/>
      <c r="I9" s="83"/>
      <c r="J9" s="83"/>
      <c r="K9" s="84"/>
      <c r="L9" s="35"/>
    </row>
    <row r="10" spans="1:12" ht="22.95" customHeight="1">
      <c r="A10" s="82" t="s">
        <v>49</v>
      </c>
      <c r="B10" s="83"/>
      <c r="C10" s="83"/>
      <c r="D10" s="83"/>
      <c r="E10" s="83"/>
      <c r="F10" s="83"/>
      <c r="G10" s="83"/>
      <c r="H10" s="83"/>
      <c r="I10" s="83"/>
      <c r="J10" s="83"/>
      <c r="K10" s="84"/>
      <c r="L10" s="35"/>
    </row>
    <row r="11" spans="1:12" s="53" customFormat="1" ht="22.95" customHeight="1">
      <c r="A11" s="85"/>
      <c r="B11" s="80"/>
      <c r="C11" s="80"/>
      <c r="D11" s="80"/>
      <c r="E11" s="80"/>
      <c r="F11" s="80"/>
      <c r="G11" s="80"/>
      <c r="H11" s="80"/>
      <c r="I11" s="80"/>
      <c r="J11" s="80"/>
      <c r="K11" s="86"/>
      <c r="L11" s="52"/>
    </row>
    <row r="12" spans="1:12" ht="27" customHeight="1">
      <c r="A12" s="87" t="s">
        <v>16</v>
      </c>
      <c r="B12" s="88"/>
      <c r="C12" s="88"/>
      <c r="D12" s="88"/>
      <c r="E12" s="88"/>
      <c r="F12" s="88"/>
      <c r="G12" s="88"/>
      <c r="H12" s="88"/>
      <c r="I12" s="88"/>
      <c r="J12" s="88"/>
      <c r="K12" s="89"/>
      <c r="L12" s="36"/>
    </row>
    <row r="13" spans="1:12" ht="24" customHeight="1">
      <c r="A13" s="90" t="s">
        <v>17</v>
      </c>
      <c r="B13" s="88"/>
      <c r="C13" s="88"/>
      <c r="D13" s="88"/>
      <c r="E13" s="88"/>
      <c r="F13" s="88"/>
      <c r="G13" s="88"/>
      <c r="H13" s="88"/>
      <c r="I13" s="88"/>
      <c r="J13" s="88"/>
      <c r="K13" s="89"/>
      <c r="L13" s="36"/>
    </row>
    <row r="14" spans="1:12" ht="24" customHeight="1">
      <c r="A14" s="87" t="s">
        <v>18</v>
      </c>
      <c r="B14" s="88"/>
      <c r="C14" s="88"/>
      <c r="D14" s="88"/>
      <c r="E14" s="88"/>
      <c r="F14" s="88"/>
      <c r="G14" s="88"/>
      <c r="H14" s="88"/>
      <c r="I14" s="88"/>
      <c r="J14" s="88"/>
      <c r="K14" s="89"/>
      <c r="L14" s="36"/>
    </row>
    <row r="15" spans="1:12" ht="24" customHeight="1">
      <c r="A15" s="87" t="s">
        <v>19</v>
      </c>
      <c r="B15" s="88"/>
      <c r="C15" s="88"/>
      <c r="D15" s="88"/>
      <c r="E15" s="88"/>
      <c r="F15" s="88"/>
      <c r="G15" s="88"/>
      <c r="H15" s="88"/>
      <c r="I15" s="88"/>
      <c r="J15" s="88"/>
      <c r="K15" s="89"/>
      <c r="L15" s="36"/>
    </row>
    <row r="16" spans="1:12" ht="24" customHeight="1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9"/>
      <c r="L16" s="36"/>
    </row>
    <row r="17" spans="1:12" ht="25.05" customHeight="1">
      <c r="A17" s="87" t="s">
        <v>32</v>
      </c>
      <c r="B17" s="88"/>
      <c r="C17" s="88"/>
      <c r="D17" s="88"/>
      <c r="E17" s="88"/>
      <c r="F17" s="88"/>
      <c r="G17" s="88"/>
      <c r="H17" s="88"/>
      <c r="I17" s="88"/>
      <c r="J17" s="88"/>
      <c r="K17" s="89"/>
      <c r="L17" s="36"/>
    </row>
    <row r="18" spans="1:12" ht="24" customHeight="1">
      <c r="A18" s="87" t="s">
        <v>25</v>
      </c>
      <c r="B18" s="88"/>
      <c r="C18" s="88"/>
      <c r="D18" s="88"/>
      <c r="E18" s="88"/>
      <c r="F18" s="88"/>
      <c r="G18" s="88"/>
      <c r="H18" s="88"/>
      <c r="I18" s="88"/>
      <c r="J18" s="88"/>
      <c r="K18" s="89"/>
      <c r="L18" s="36"/>
    </row>
    <row r="19" spans="1:12" ht="24" customHeight="1">
      <c r="A19" s="87" t="s">
        <v>26</v>
      </c>
      <c r="B19" s="88"/>
      <c r="C19" s="88"/>
      <c r="D19" s="88"/>
      <c r="E19" s="88"/>
      <c r="F19" s="88"/>
      <c r="G19" s="88"/>
      <c r="H19" s="88"/>
      <c r="I19" s="88"/>
      <c r="J19" s="88"/>
      <c r="K19" s="89"/>
      <c r="L19" s="36"/>
    </row>
    <row r="20" spans="1:12" s="53" customFormat="1" ht="24" customHeight="1">
      <c r="A20" s="85"/>
      <c r="B20" s="80"/>
      <c r="C20" s="80"/>
      <c r="D20" s="80"/>
      <c r="E20" s="80"/>
      <c r="F20" s="80"/>
      <c r="G20" s="80"/>
      <c r="H20" s="80"/>
      <c r="I20" s="80"/>
      <c r="J20" s="80"/>
      <c r="K20" s="86"/>
      <c r="L20" s="52"/>
    </row>
    <row r="21" spans="1:12" s="26" customFormat="1" ht="25.05" customHeight="1">
      <c r="A21" s="91" t="s">
        <v>30</v>
      </c>
      <c r="B21" s="92"/>
      <c r="C21" s="92"/>
      <c r="D21" s="92"/>
      <c r="E21" s="92"/>
      <c r="F21" s="92"/>
      <c r="G21" s="92"/>
      <c r="H21" s="92"/>
      <c r="I21" s="92"/>
      <c r="J21" s="92"/>
      <c r="K21" s="93"/>
      <c r="L21" s="25"/>
    </row>
    <row r="22" spans="1:12" s="26" customFormat="1" ht="25.05" customHeight="1">
      <c r="A22" s="91" t="s">
        <v>33</v>
      </c>
      <c r="B22" s="92"/>
      <c r="C22" s="92"/>
      <c r="D22" s="92"/>
      <c r="E22" s="92"/>
      <c r="F22" s="92"/>
      <c r="G22" s="92"/>
      <c r="H22" s="92"/>
      <c r="I22" s="92"/>
      <c r="J22" s="92"/>
      <c r="K22" s="93"/>
      <c r="L22" s="34"/>
    </row>
    <row r="23" spans="1:12" s="26" customFormat="1" ht="22.95" customHeight="1">
      <c r="A23" s="91" t="s">
        <v>34</v>
      </c>
      <c r="B23" s="92"/>
      <c r="C23" s="92"/>
      <c r="D23" s="92"/>
      <c r="E23" s="92"/>
      <c r="F23" s="92"/>
      <c r="G23" s="92"/>
      <c r="H23" s="92"/>
      <c r="I23" s="92"/>
      <c r="J23" s="92"/>
      <c r="K23" s="93"/>
    </row>
    <row r="24" spans="1:12" s="26" customFormat="1" ht="22.95" customHeight="1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6"/>
    </row>
    <row r="25" spans="1:12" s="26" customFormat="1" ht="22.95" customHeight="1">
      <c r="A25" s="87" t="s">
        <v>21</v>
      </c>
      <c r="B25" s="97"/>
      <c r="C25" s="97"/>
      <c r="D25" s="97"/>
      <c r="E25" s="97"/>
      <c r="F25" s="97"/>
      <c r="G25" s="97"/>
      <c r="H25" s="97"/>
      <c r="I25" s="97"/>
      <c r="J25" s="97"/>
      <c r="K25" s="98"/>
    </row>
    <row r="26" spans="1:12" s="57" customFormat="1" ht="25.05" customHeight="1">
      <c r="A26" s="87" t="s">
        <v>22</v>
      </c>
      <c r="B26" s="97"/>
      <c r="C26" s="97"/>
      <c r="D26" s="97"/>
      <c r="E26" s="97"/>
      <c r="F26" s="97"/>
      <c r="G26" s="97"/>
      <c r="H26" s="97"/>
      <c r="I26" s="97"/>
      <c r="J26" s="97"/>
      <c r="K26" s="98"/>
      <c r="L26" s="56"/>
    </row>
    <row r="27" spans="1:12" ht="25.05" customHeight="1">
      <c r="A27" s="85"/>
      <c r="B27" s="155"/>
      <c r="C27" s="155"/>
      <c r="D27" s="155"/>
      <c r="E27" s="155"/>
      <c r="F27" s="155"/>
      <c r="G27" s="155"/>
      <c r="H27" s="155"/>
      <c r="I27" s="155"/>
      <c r="J27" s="155"/>
      <c r="K27" s="81"/>
      <c r="L27" s="27"/>
    </row>
    <row r="28" spans="1:12" ht="25.05" customHeight="1">
      <c r="A28" s="156" t="s">
        <v>23</v>
      </c>
      <c r="B28" s="157"/>
      <c r="C28" s="157"/>
      <c r="D28" s="157"/>
      <c r="E28" s="157"/>
      <c r="F28" s="155"/>
      <c r="G28" s="155"/>
      <c r="H28" s="155"/>
      <c r="I28" s="155"/>
      <c r="J28" s="155"/>
      <c r="K28" s="81"/>
      <c r="L28" s="27"/>
    </row>
    <row r="29" spans="1:12" s="53" customFormat="1" ht="25.05" customHeight="1">
      <c r="A29" s="158" t="s">
        <v>54</v>
      </c>
      <c r="B29" s="159"/>
      <c r="C29" s="159"/>
      <c r="D29" s="159"/>
      <c r="E29" s="159"/>
      <c r="F29" s="160"/>
      <c r="G29" s="160"/>
      <c r="H29" s="160"/>
      <c r="I29" s="160"/>
      <c r="J29" s="160"/>
      <c r="K29" s="161"/>
      <c r="L29" s="56"/>
    </row>
    <row r="30" spans="1:12" s="30" customFormat="1" ht="25.05" customHeight="1">
      <c r="A30"/>
      <c r="B30"/>
      <c r="C30"/>
      <c r="D30"/>
      <c r="E30"/>
      <c r="F30"/>
      <c r="G30"/>
      <c r="H30"/>
      <c r="I30"/>
      <c r="J30"/>
      <c r="K30"/>
      <c r="L30" s="31"/>
    </row>
    <row r="31" spans="1:12" s="30" customFormat="1" ht="25.05" customHeight="1">
      <c r="A31"/>
      <c r="B31"/>
      <c r="C31"/>
      <c r="D31"/>
      <c r="E31"/>
      <c r="F31"/>
      <c r="G31"/>
      <c r="H31"/>
      <c r="I31"/>
      <c r="J31"/>
      <c r="K31"/>
      <c r="L31" s="31"/>
    </row>
    <row r="32" spans="1:12" s="55" customFormat="1" ht="25.05" customHeight="1">
      <c r="A32"/>
      <c r="B32"/>
      <c r="C32"/>
      <c r="D32"/>
      <c r="E32"/>
      <c r="F32"/>
      <c r="G32"/>
      <c r="H32"/>
      <c r="I32"/>
      <c r="J32"/>
      <c r="K32"/>
      <c r="L32" s="54"/>
    </row>
    <row r="33" spans="1:12" s="30" customFormat="1" ht="25.05" customHeight="1">
      <c r="A33"/>
      <c r="B33"/>
      <c r="C33"/>
      <c r="D33"/>
      <c r="E33"/>
      <c r="F33"/>
      <c r="G33"/>
      <c r="H33"/>
      <c r="I33"/>
      <c r="J33"/>
      <c r="K33"/>
      <c r="L33" s="37"/>
    </row>
  </sheetData>
  <sheetProtection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" right="0" top="0.15748031496062992" bottom="0.15748031496062992" header="0.11811023622047244" footer="0.1181102362204724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H41"/>
  <sheetViews>
    <sheetView zoomScale="75" zoomScaleNormal="75" workbookViewId="0">
      <selection activeCell="F1" sqref="F1"/>
    </sheetView>
  </sheetViews>
  <sheetFormatPr baseColWidth="10" defaultColWidth="10.625" defaultRowHeight="11.4"/>
  <cols>
    <col min="1" max="8" width="24.625" style="1" customWidth="1"/>
    <col min="9" max="186" width="10.625" style="2" customWidth="1"/>
    <col min="187" max="16384" width="10.625" style="2"/>
  </cols>
  <sheetData>
    <row r="1" spans="1:8" ht="30" customHeight="1">
      <c r="A1" s="17" t="s">
        <v>0</v>
      </c>
      <c r="B1" s="28" t="s">
        <v>53</v>
      </c>
      <c r="C1" s="66"/>
      <c r="D1" s="41" t="s">
        <v>52</v>
      </c>
      <c r="E1" s="18" t="s">
        <v>1</v>
      </c>
      <c r="F1" s="28" t="s">
        <v>2</v>
      </c>
      <c r="G1" s="64"/>
      <c r="H1" s="13"/>
    </row>
    <row r="2" spans="1:8" ht="19.95" customHeight="1">
      <c r="A2" s="19" t="s">
        <v>14</v>
      </c>
      <c r="B2" s="29" t="s">
        <v>56</v>
      </c>
      <c r="C2" s="38" t="s">
        <v>27</v>
      </c>
      <c r="D2" s="40">
        <f>DATE(2024,6,3)</f>
        <v>43984</v>
      </c>
      <c r="E2" s="38" t="s">
        <v>3</v>
      </c>
      <c r="F2" s="29" t="s">
        <v>24</v>
      </c>
      <c r="G2" s="63"/>
      <c r="H2" s="39"/>
    </row>
    <row r="3" spans="1:8" ht="19.95" customHeight="1" thickBot="1">
      <c r="A3" s="19"/>
      <c r="B3" s="63"/>
      <c r="C3" s="38" t="s">
        <v>28</v>
      </c>
      <c r="D3" s="162">
        <f>D2+DAY(5)</f>
        <v>43990</v>
      </c>
      <c r="E3" s="20"/>
      <c r="F3" s="62"/>
      <c r="G3" s="62"/>
      <c r="H3" s="14"/>
    </row>
    <row r="4" spans="1:8" s="3" customFormat="1" ht="46.5" customHeight="1">
      <c r="A4" s="7" t="s">
        <v>4</v>
      </c>
      <c r="B4" s="8" t="s">
        <v>15</v>
      </c>
      <c r="C4" s="8" t="s">
        <v>31</v>
      </c>
      <c r="D4" s="10" t="s">
        <v>5</v>
      </c>
      <c r="E4" s="8" t="s">
        <v>6</v>
      </c>
      <c r="F4" s="9" t="s">
        <v>7</v>
      </c>
      <c r="G4" s="10" t="s">
        <v>29</v>
      </c>
      <c r="H4" s="11" t="s">
        <v>8</v>
      </c>
    </row>
    <row r="5" spans="1:8" ht="17.25" customHeight="1">
      <c r="A5" s="12" t="str">
        <f>CHOOSE(WEEKDAY(A6,2),"LUNDI","MARDI","MERCREDI","JEUDI","VENDREDI","SAMEDI","DIMANCHE")</f>
        <v>LUNDI</v>
      </c>
      <c r="B5" s="21" t="str">
        <f>IF(OR(C5&lt;&gt;0, C6 &lt;&gt;0,), IF(MOD(C6-C5, 1) &lt; 0.041, "(pause réduite)", ""), "")</f>
        <v/>
      </c>
      <c r="C5" s="65">
        <v>0</v>
      </c>
      <c r="D5" s="43">
        <v>0</v>
      </c>
      <c r="E5" s="21">
        <f>IF(D5= " ",0/24,((MOD(D6-D5,1))-MOD(C6-C5,1)))</f>
        <v>0</v>
      </c>
      <c r="F5" s="2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21">
        <v>0</v>
      </c>
      <c r="H5" s="32">
        <v>0</v>
      </c>
    </row>
    <row r="6" spans="1:8" ht="17.25" customHeight="1">
      <c r="A6" s="42">
        <f>D2</f>
        <v>43984</v>
      </c>
      <c r="B6" s="48" t="str">
        <f>IF(E6=0 / 24, "","(journée continue)")</f>
        <v/>
      </c>
      <c r="C6" s="65">
        <v>0</v>
      </c>
      <c r="D6" s="43">
        <v>0</v>
      </c>
      <c r="E6" s="22">
        <f>SUM(D7,E7)</f>
        <v>0</v>
      </c>
      <c r="F6" s="2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4"/>
      <c r="H6" s="163"/>
    </row>
    <row r="7" spans="1:8" ht="17.25" customHeight="1">
      <c r="A7" s="47">
        <f>IF(A6="", Deb, IF(A6&gt;DATE(YEAR(A6),3,20),IF(A6&lt;DATE(YEAR(A6),12,21),22 / 24,20 / 24),20 /24))</f>
        <v>0.91666666666666663</v>
      </c>
      <c r="B7" s="46" t="str">
        <f>IF(A6 &lt;&gt; "", IF(A5="DIMANCHE", "(majoration dimanche)", ""), "")</f>
        <v/>
      </c>
      <c r="C7" s="50">
        <f>IF(C6 = C5, (MOD(D6-D5,1)),0)</f>
        <v>0</v>
      </c>
      <c r="D7" s="44">
        <f>IF(C5=0 / 24,0,IF((MOD(C5-D5,1))&lt;6 / 24,0,0.5 / 24))</f>
        <v>0</v>
      </c>
      <c r="E7" s="16">
        <f>IF(C7&gt;=(6 / 24),0.5 / 24,(IF(C5 = C6, IF(MOD(D6-D5, 1) &lt;6/24, 0, 0.5/24), IF((MOD(D6-C6,1))&lt;6/24,0,0.5/24))))</f>
        <v>0</v>
      </c>
      <c r="F7" s="6" t="str">
        <f>IF(OR(F6=" ", F6=0)," ","(minoration repas nuit)")</f>
        <v xml:space="preserve"> </v>
      </c>
      <c r="G7" s="67"/>
      <c r="H7" s="15">
        <f>IF((E5)&lt;12/24,0/24,(E5)-12/24)</f>
        <v>0</v>
      </c>
    </row>
    <row r="8" spans="1:8" ht="17.25" customHeight="1">
      <c r="A8" s="12" t="str">
        <f>CHOOSE(WEEKDAY(A6+1,2),"LUNDI","MARDI","MERCREDI","JEUDI","VENDREDI","SAMEDI","DIMANCHE")</f>
        <v>MARDI</v>
      </c>
      <c r="B8" s="51" t="str">
        <f>IF(OR(C8&lt;&gt;0, C9 &lt;&gt;0,), IF(MOD(C9-C8, 1) &lt; 0.041, "(pause réduite)", ""), "")</f>
        <v/>
      </c>
      <c r="C8" s="65">
        <v>0</v>
      </c>
      <c r="D8" s="43">
        <v>0</v>
      </c>
      <c r="E8" s="21">
        <f>IF(D8= " ",0/24,((MOD(D9-D8,1))-MOD(C9-C8,1)))</f>
        <v>0</v>
      </c>
      <c r="F8" s="2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21">
        <f>IF(AND(D5=0, D6=0), 0/24, (IF(D8=0/24,0/24,IF((MOD(D8-D6,1))&gt;=11/24,0/24,11/24-(MOD(D8-D6,1))))))</f>
        <v>0</v>
      </c>
      <c r="H8" s="32">
        <v>0</v>
      </c>
    </row>
    <row r="9" spans="1:8" ht="17.25" customHeight="1">
      <c r="A9" s="42">
        <f>IF(AND(DATE(YEAR(D2),MONTH(D2),DAY(D2))&lt;DATE(YEAR(D3),MONTH(D3),DAY(D3)), A6&lt;&gt;""),DATE(YEAR(D2),MONTH(D2),DAY(D2)+1),"")</f>
        <v>43985</v>
      </c>
      <c r="B9" s="5" t="str">
        <f>IF(E9=0 / 24, "","(journée continue)")</f>
        <v/>
      </c>
      <c r="C9" s="65">
        <v>0</v>
      </c>
      <c r="D9" s="43">
        <v>0</v>
      </c>
      <c r="E9" s="22">
        <f>SUM(D10,E10)</f>
        <v>0</v>
      </c>
      <c r="F9" s="2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4"/>
      <c r="H9" s="164"/>
    </row>
    <row r="10" spans="1:8" ht="17.25" customHeight="1">
      <c r="A10" s="47">
        <f>IF(A9="", Deb, IF(A9&gt;DATE(YEAR(A9),3,20),IF(A9&lt;DATE(YEAR(A9),12,21),22 / 24,20 / 24),20 /24))</f>
        <v>0.91666666666666663</v>
      </c>
      <c r="B10" s="46" t="str">
        <f>IF(A9 &lt;&gt; "", IF(A8="DIMANCHE", "(majoration dimanche)", ""), "")</f>
        <v/>
      </c>
      <c r="C10" s="50">
        <f>IF(C9 = C8, (MOD(D9-D8,1)),0)</f>
        <v>0</v>
      </c>
      <c r="D10" s="44">
        <f>IF(C8=0 / 24,0,IF((MOD(C8-D8,1))&lt;6 / 24,0,0.5 / 24))</f>
        <v>0</v>
      </c>
      <c r="E10" s="50">
        <f>IF(C10&gt;=(6 / 24),0.5 / 24,(IF(C8 = C9, IF(MOD(D9-D8, 1) &lt;6 /24, 0, 0.5/24), IF((MOD(D9-C9,1))&lt;6/24,0,0.5/24))))</f>
        <v>0</v>
      </c>
      <c r="F10" s="6" t="str">
        <f>IF(F9=" "," ","(minoration repas nuit)")</f>
        <v xml:space="preserve"> </v>
      </c>
      <c r="G10" s="67"/>
      <c r="H10" s="15">
        <f>IF((E8)&lt;12/24,0/24,(E8)-12/24)</f>
        <v>0</v>
      </c>
    </row>
    <row r="11" spans="1:8" ht="17.25" customHeight="1">
      <c r="A11" s="12" t="str">
        <f>CHOOSE(WEEKDAY(A6+2,2),"LUNDI","MARDI","MERCREDI","JEUDI","VENDREDI","SAMEDI","DIMANCHE")</f>
        <v>MERCREDI</v>
      </c>
      <c r="B11" s="51" t="str">
        <f>IF(OR(C11&lt;&gt;0, C12 &lt;&gt;0,), IF(MOD(C12-C11, 1) &lt; 0.041, "(pause réduite)", ""), "")</f>
        <v/>
      </c>
      <c r="C11" s="65">
        <v>0</v>
      </c>
      <c r="D11" s="43">
        <v>0</v>
      </c>
      <c r="E11" s="21">
        <f>IF(D11= " ",0/24,((MOD(D12-D11,1))-MOD(C12-C11,1)))</f>
        <v>0</v>
      </c>
      <c r="F11" s="2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21">
        <f>IF(AND(D8=0, D9=0), 0/24, (IF(D11=0/24,0/24,IF((MOD(D11-D9,1))&gt;=11/24,0/24,11/24-(MOD(D11-D9,1))))))</f>
        <v>0</v>
      </c>
      <c r="H11" s="32">
        <v>0</v>
      </c>
    </row>
    <row r="12" spans="1:8" ht="17.25" customHeight="1">
      <c r="A12" s="42">
        <f>IF(AND(DATE(YEAR(A9),MONTH(A9),DAY(A9))&lt;DATE(YEAR(D3),MONTH(D3),DAY(D3)), A9&lt;&gt;""),DATE(YEAR(D2),MONTH(D2),DAY(D2)+2), "")</f>
        <v>43986</v>
      </c>
      <c r="B12" s="5" t="str">
        <f>IF(E12=0 / 24, "","(journée continue)")</f>
        <v/>
      </c>
      <c r="C12" s="65">
        <v>0</v>
      </c>
      <c r="D12" s="45">
        <v>0</v>
      </c>
      <c r="E12" s="22">
        <f>SUM(D13,E13)</f>
        <v>0</v>
      </c>
      <c r="F12" s="2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4"/>
      <c r="H12" s="165"/>
    </row>
    <row r="13" spans="1:8" ht="17.25" customHeight="1">
      <c r="A13" s="47">
        <f>IF(A12="", Deb, IF(A12&gt;DATE(YEAR(A12),3,20),IF(A12&lt;DATE(YEAR(A12),12,21),22 / 24,20 / 24),20 /24))</f>
        <v>0.91666666666666663</v>
      </c>
      <c r="B13" s="6" t="str">
        <f>IF(A12 &lt;&gt; "", IF(A11="DIMANCHE", "(majoration dimanche)", ""), "")</f>
        <v/>
      </c>
      <c r="C13" s="50">
        <f>IF(C12 = C11, (MOD(D12-D11,1)),0)</f>
        <v>0</v>
      </c>
      <c r="D13" s="44">
        <f>IF(C11=0 / 24,0,IF((MOD(C11-D11,1))&lt;6 / 24,0,0.5 / 24))</f>
        <v>0</v>
      </c>
      <c r="E13" s="16">
        <f>IF(C13&gt;=(6 / 24),0.5 / 24,(IF(C11 = C12, IF(MOD(D12-D11, 1) &lt;6/24, 0, 0.5/24), IF((MOD(D12-C12,1))&lt;6/24,0,0.5/24))))</f>
        <v>0</v>
      </c>
      <c r="F13" s="6" t="str">
        <f>IF(F12=" "," ","(minoration repas nuit)")</f>
        <v xml:space="preserve"> </v>
      </c>
      <c r="G13" s="68"/>
      <c r="H13" s="15">
        <f>IF((E11)&lt;12/24,0/24,(E11)-12/24)</f>
        <v>0</v>
      </c>
    </row>
    <row r="14" spans="1:8" ht="17.25" customHeight="1">
      <c r="A14" s="12" t="str">
        <f>CHOOSE(WEEKDAY(A6+3,2),"LUNDI","MARDI","MERCREDI","JEUDI","VENDREDI","SAMEDI","DIMANCHE")</f>
        <v>JEUDI</v>
      </c>
      <c r="B14" s="51" t="str">
        <f>IF(OR(C14&lt;&gt;0, C15 &lt;&gt;0,), IF(MOD(C15-C14, 1) &lt; 0.041, "(pause réduite)", ""), "")</f>
        <v/>
      </c>
      <c r="C14" s="65">
        <v>0</v>
      </c>
      <c r="D14" s="43">
        <v>0</v>
      </c>
      <c r="E14" s="21">
        <f>IF(D14= " ",0/24,((MOD(D15-D14,1))-MOD(C15-C14,1)))</f>
        <v>0</v>
      </c>
      <c r="F14" s="2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21">
        <f>IF(AND(D11=0, D12=0), 0/24, (IF(D14=0/24,0/24,IF((MOD(D14-D12,1))&gt;= 11/24, 0/24, (11/24- (MOD(D14-D12,1)))))))</f>
        <v>0</v>
      </c>
      <c r="H14" s="32">
        <v>0</v>
      </c>
    </row>
    <row r="15" spans="1:8" ht="17.25" customHeight="1">
      <c r="A15" s="42">
        <f>IF(A12&lt;&gt; "", (IF(DATE(YEAR(A12),MONTH(A12),DAY(A12))&lt;DATE(YEAR(D3),MONTH(D3),DAY(D3)),DATE(YEAR(D2),MONTH(D2),(DAY(D2)+3)), "")), "")</f>
        <v>43987</v>
      </c>
      <c r="B15" s="5" t="str">
        <f>IF(E15=0 / 24, "","(journée continue)")</f>
        <v/>
      </c>
      <c r="C15" s="65">
        <v>0</v>
      </c>
      <c r="D15" s="43">
        <v>0</v>
      </c>
      <c r="E15" s="22">
        <f>SUM(D16,E16)</f>
        <v>0</v>
      </c>
      <c r="F15" s="2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4"/>
      <c r="H15" s="33"/>
    </row>
    <row r="16" spans="1:8" ht="17.25" customHeight="1">
      <c r="A16" s="47">
        <f>IF(A15="", Deb, IF(A15&gt;DATE(YEAR(A15),3,20),IF(A15&lt;DATE(YEAR(A15),12,21),22 / 24,20 / 24),20 /24))</f>
        <v>0.91666666666666663</v>
      </c>
      <c r="B16" s="6" t="str">
        <f>IF(A15 &lt;&gt; "", IF(A14="DIMANCHE", "(majoration dimanche)", ""), "")</f>
        <v/>
      </c>
      <c r="C16" s="50">
        <f>IF(C14 = C15, (MOD(D15-D14,1)),0)</f>
        <v>0</v>
      </c>
      <c r="D16" s="44">
        <f>IF(C14=0 / 24,0,IF((MOD(C14-D14,1))&lt;6 / 24,0,0.5 / 24))</f>
        <v>0</v>
      </c>
      <c r="E16" s="16">
        <f>IF(C16&gt;=(6 / 24),0.5 / 24,(IF(C15 = C14, IF(MOD(D15-D14, 1) &lt;6/24, 0, 0.5/24), IF((MOD(D15-C15,1))&lt;6/24,0,0.5/24))))</f>
        <v>0</v>
      </c>
      <c r="F16" s="6" t="str">
        <f>IF(F15=" "," ","(minoration repas nuit)")</f>
        <v xml:space="preserve"> </v>
      </c>
      <c r="G16" s="16"/>
      <c r="H16" s="15">
        <f>IF((E14)&lt;12/24,0/24,(E14)-12/24)</f>
        <v>0</v>
      </c>
    </row>
    <row r="17" spans="1:8" ht="17.25" customHeight="1">
      <c r="A17" s="12" t="str">
        <f>CHOOSE(WEEKDAY(A6+4,2),"LUNDI","MARDI","MERCREDI","JEUDI","VENDREDI","SAMEDI","DIMANCHE")</f>
        <v>VENDREDI</v>
      </c>
      <c r="B17" s="51" t="str">
        <f>IF(OR(C17&lt;&gt;0, C18 &lt;&gt;0,), IF(MOD(C18-C17, 1) &lt; 0.041, "(pause réduite)", ""), "")</f>
        <v/>
      </c>
      <c r="C17" s="65">
        <v>0</v>
      </c>
      <c r="D17" s="43">
        <v>0</v>
      </c>
      <c r="E17" s="21">
        <f>IF(D17=" ",0/24,((MOD(D18-D17,1))-MOD(C18-C17,1)))</f>
        <v>0</v>
      </c>
      <c r="F17" s="2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21">
        <f>IF(AND(D14=0, D15=0), 0/24,(IF(D17=0/24,0/24,IF((MOD(D17-D15,1))&gt;=11/24,0/24,11/24-(MOD(D17-D15,1))))))</f>
        <v>0</v>
      </c>
      <c r="H17" s="32">
        <v>0</v>
      </c>
    </row>
    <row r="18" spans="1:8" ht="17.25" customHeight="1">
      <c r="A18" s="42">
        <f>IF(A15&lt;&gt; "", (IF(DATE(YEAR(A15),MONTH(A15),DAY(A15))&lt;DATE(YEAR(D3),MONTH(D3),DAY(D3)),DATE(YEAR(D2),MONTH(D2),(DAY(D2)+4)), "")), "")</f>
        <v>43988</v>
      </c>
      <c r="B18" s="5" t="str">
        <f>IF(E18=0 / 24, "","(journée continue)")</f>
        <v/>
      </c>
      <c r="C18" s="65">
        <v>0</v>
      </c>
      <c r="D18" s="43">
        <v>0</v>
      </c>
      <c r="E18" s="22">
        <f>SUM(D19,E19)</f>
        <v>0</v>
      </c>
      <c r="F18" s="2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4"/>
      <c r="H18" s="164"/>
    </row>
    <row r="19" spans="1:8" ht="17.25" customHeight="1">
      <c r="A19" s="47">
        <f>IF(A18="", Deb, IF(A18&gt;DATE(YEAR(A18),3,20),IF(A18&lt;DATE(YEAR(A18),12,21),22 / 24,20 / 24),20 /24))</f>
        <v>0.91666666666666663</v>
      </c>
      <c r="B19" s="6" t="str">
        <f>IF(A18 &lt;&gt; "", IF(A17="DIMANCHE", "(majoration dimanche)", ""), "")</f>
        <v/>
      </c>
      <c r="C19" s="50">
        <f>IF(C17 = C18, (MOD(D18-D17,1)),0)</f>
        <v>0</v>
      </c>
      <c r="D19" s="44">
        <f>IF(C17=0 / 24,0,IF((MOD(C17-D17,1))&lt;6 / 24,0,0.5 / 24))</f>
        <v>0</v>
      </c>
      <c r="E19" s="16">
        <f>IF(C19&gt;=(6 / 24),0.5 / 24,(IF(C17 = C18, IF(MOD(D18-D17, 1) &lt;6/24, 0, 0.5/24), IF((MOD(D18-C18,1))&lt;6/24,0,0.5/24))))</f>
        <v>0</v>
      </c>
      <c r="F19" s="6" t="str">
        <f>IF(F18=" "," ","(minoration repas nuit)")</f>
        <v xml:space="preserve"> </v>
      </c>
      <c r="G19" s="49"/>
      <c r="H19" s="15">
        <f>IF((E17)&lt;12/24,0/24,(E17)-12/24)</f>
        <v>0</v>
      </c>
    </row>
    <row r="20" spans="1:8" ht="17.25" customHeight="1">
      <c r="A20" s="12" t="str">
        <f>CHOOSE(WEEKDAY(A6+5,2),"LUNDI","MARDI","MERCREDI","JEUDI","VENDREDI","SAMEDI","DIMANCHE")</f>
        <v>SAMEDI</v>
      </c>
      <c r="B20" s="51" t="str">
        <f>IF(OR(C21&lt;&gt;0, C22 &lt;&gt;0,), IF(MOD(C21-C20, 1) &lt; 0.041, "(pause réduite)", ""), "")</f>
        <v/>
      </c>
      <c r="C20" s="65">
        <v>0</v>
      </c>
      <c r="D20" s="43">
        <v>0</v>
      </c>
      <c r="E20" s="21">
        <f>IF(D20= " ",0/24,((MOD(D21-D20,1))-MOD(C21-C20,1)))</f>
        <v>0</v>
      </c>
      <c r="F20" s="2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21">
        <f>IF(AND(D17=0, D18=0),0/24, (IF(D20=0/24,0/24,IF((MOD(D20-D18,1))&gt;=11/24,0/24, 11/24-(MOD(D20-D18,1))))))</f>
        <v>0</v>
      </c>
      <c r="H20" s="32">
        <v>0</v>
      </c>
    </row>
    <row r="21" spans="1:8" ht="17.25" customHeight="1">
      <c r="A21" s="42">
        <f>IF(A18&lt;&gt; "", (IF(DATE(YEAR(A18),MONTH(A18),DAY(A18))&lt;DATE(YEAR(D3),MONTH(D3),DAY(D3)),DATE(YEAR(D2),MONTH(D2),(DAY(D2)+5)), "")), "")</f>
        <v>43989</v>
      </c>
      <c r="B21" s="5" t="str">
        <f>IF(E21=0 / 24, "","(journée continue)")</f>
        <v/>
      </c>
      <c r="C21" s="65">
        <v>0</v>
      </c>
      <c r="D21" s="43">
        <v>0</v>
      </c>
      <c r="E21" s="22">
        <f>SUM(D22,E22)</f>
        <v>0</v>
      </c>
      <c r="F21" s="2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4"/>
      <c r="H21" s="166"/>
    </row>
    <row r="22" spans="1:8" ht="17.25" customHeight="1">
      <c r="A22" s="47">
        <f>IF(A21="", Deb, IF(A21&gt;DATE(YEAR(A21),3,20),IF(A21&lt;DATE(YEAR(A21),12,21),22 / 24,20 / 24),20 /24))</f>
        <v>0.91666666666666663</v>
      </c>
      <c r="B22" s="6" t="str">
        <f>IF(A21&lt;&gt;"",IF(A20="DIMANCHE","(majoration dimanche)",""), "")</f>
        <v/>
      </c>
      <c r="C22" s="50">
        <f>IF(C20 = C21, (MOD(D21-D20,1)),0)</f>
        <v>0</v>
      </c>
      <c r="D22" s="44">
        <f>IF(C20=0 / 24,0,IF((MOD(C20-D20,1))&lt;6 / 24,0,0.5 / 24))</f>
        <v>0</v>
      </c>
      <c r="E22" s="16">
        <f>IF(C22&gt;=(6 / 24),0.5 / 24,(IF(C21 = C20, IF(MOD(D21-D20, 1) &lt;6/24, 0, 0.5/24), IF((MOD(D21-C21,1))&lt;6/24,0,0.5/24))))</f>
        <v>0</v>
      </c>
      <c r="F22" s="6" t="str">
        <f>IF(F21=" "," ","(minoration repas nuit)")</f>
        <v xml:space="preserve"> </v>
      </c>
      <c r="G22" s="16"/>
      <c r="H22" s="15">
        <f>IF((E20)&lt;12/24,0/24,(E20)-12/24)</f>
        <v>0</v>
      </c>
    </row>
    <row r="23" spans="1:8" ht="17.25" customHeight="1">
      <c r="A23" s="12" t="str">
        <f>CHOOSE(WEEKDAY(A9+5,2),"LUNDI","MARDI","MERCREDI","JEUDI","VENDREDI","SAMEDI","DIMANCHE")</f>
        <v>DIMANCHE</v>
      </c>
      <c r="B23" s="51" t="str">
        <f>IF(OR(C24&lt;&gt;0, C25 &lt;&gt;0,), IF(MOD(C24-C23, 1) &lt; 0.041, "(pause réduite)", ""), "")</f>
        <v/>
      </c>
      <c r="C23" s="65">
        <v>0</v>
      </c>
      <c r="D23" s="43">
        <v>0</v>
      </c>
      <c r="E23" s="21">
        <f>IF(D23= " ",0/24,((MOD(D24-D23,1))-MOD(C24-C23,1)))</f>
        <v>0</v>
      </c>
      <c r="F23" s="2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21">
        <f>IF(AND(D20=0, D21=0),0/24, (IF(D23=0/24,0/24,IF((MOD(D23-D21,1))&gt;=11/24,0/24, 11/24-(MOD(D23-D21,1))))))</f>
        <v>0</v>
      </c>
      <c r="H23" s="32">
        <v>0</v>
      </c>
    </row>
    <row r="24" spans="1:8" s="3" customFormat="1" ht="16.8" customHeight="1">
      <c r="A24" s="42">
        <f>IF(A21&lt;&gt; "", (IF(DATE(YEAR(A21),MONTH(A21),DAY(A21))&lt;DATE(YEAR(D3),MONTH(D3),DAY(D3)),DATE(YEAR(D2),MONTH(D2),(DAY(D2)+6)), "")), "")</f>
        <v>43990</v>
      </c>
      <c r="B24" s="5" t="str">
        <f>IF(E24=0 / 24, "","(journée continue)")</f>
        <v/>
      </c>
      <c r="C24" s="65">
        <v>0</v>
      </c>
      <c r="D24" s="43">
        <v>0</v>
      </c>
      <c r="E24" s="22">
        <f>SUM(D25,E25)</f>
        <v>0</v>
      </c>
      <c r="F24" s="2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4"/>
      <c r="H24" s="166"/>
    </row>
    <row r="25" spans="1:8" s="3" customFormat="1" ht="16.8" customHeight="1">
      <c r="A25" s="47">
        <f>IF(A24="", Deb, IF(A24&gt;DATE(YEAR(A24),3,20),IF(A24&lt;DATE(YEAR(A24),12,21),22 / 24,20 / 24),20 /24))</f>
        <v>0.91666666666666663</v>
      </c>
      <c r="B25" s="6" t="str">
        <f>IF(A24&lt;&gt;"",IF(A23="DIMANCHE",IF(E23 &gt; 0/24, "(majoration dimanche)", ""),""),"")</f>
        <v/>
      </c>
      <c r="C25" s="50">
        <f>IF(C23 = C24, (MOD(D24-D23,1)),0)</f>
        <v>0</v>
      </c>
      <c r="D25" s="44">
        <f>IF(C23=0 / 24,0,IF((MOD(C23-D23,1))&lt;6 / 24,0,0.5 / 24))</f>
        <v>0</v>
      </c>
      <c r="E25" s="16">
        <f>IF(C25&gt;=(6 / 24),0.5 / 24,(IF(C24 = C23, IF(MOD(D24-D23, 1) &lt;6/24, 0, 0.5/24), IF((MOD(D24-C24,1))&lt;6/24,0,0.5/24))))</f>
        <v>0</v>
      </c>
      <c r="F25" s="6" t="str">
        <f>IF(F24=" "," ","(minoration repas nuit)")</f>
        <v xml:space="preserve"> </v>
      </c>
      <c r="G25" s="16">
        <f>SUM(H25+H22+H19+H16+H13+H10+H7)</f>
        <v>0</v>
      </c>
      <c r="H25" s="15">
        <f>IF((E23)&lt;12/24,0/24,(E23)-12/24)</f>
        <v>0</v>
      </c>
    </row>
    <row r="26" spans="1:8" s="3" customFormat="1" ht="16.8" customHeight="1" thickBot="1">
      <c r="A26" s="108"/>
      <c r="B26" s="109"/>
      <c r="C26" s="110"/>
      <c r="D26" s="111" t="s">
        <v>9</v>
      </c>
      <c r="E26" s="112">
        <f>SUM(E5,E8,E11,E14,E17,E20,E23)</f>
        <v>0</v>
      </c>
      <c r="F26" s="112">
        <f>SUM(F5,F6,F8,F9,F11,F12,F14,F15,F17,F18,F20,F21,F23,F24)</f>
        <v>0</v>
      </c>
      <c r="G26" s="113">
        <f>SUM(G5,G8,G11,G14,G17,G20,G23)</f>
        <v>0</v>
      </c>
      <c r="H26" s="114">
        <f>SUM(H23,H24,H21,H20,H18,H17,H15,H14,H12,H11,H9,H8,H6,H5,)</f>
        <v>0</v>
      </c>
    </row>
    <row r="27" spans="1:8" s="3" customFormat="1" ht="13.8" customHeight="1">
      <c r="A27" s="69"/>
      <c r="B27" s="70"/>
      <c r="C27" s="70"/>
      <c r="D27" s="70"/>
      <c r="E27" s="71"/>
      <c r="F27" s="71"/>
      <c r="G27" s="71"/>
      <c r="H27" s="72"/>
    </row>
    <row r="28" spans="1:8" ht="13.8" customHeight="1" thickBot="1">
      <c r="A28" s="78">
        <f>IF(A6 = "", Fin, IF(A6&gt;DATE(YEAR(A6),3,20),IF(A6&lt;DATE(YEAR(A6),12,21),7 / 24,6 / 24),6 /24))</f>
        <v>0.29166666666666669</v>
      </c>
      <c r="B28" s="106">
        <f>IF(A6 = "", Fin, IF(A6&gt;DATE(YEAR(A6),3,20),IF(A6&lt;DATE(YEAR(A6),12,21),7 / 24,6 / 24),6 /24))</f>
        <v>0.29166666666666669</v>
      </c>
      <c r="C28" s="116"/>
      <c r="D28" s="116"/>
      <c r="E28" s="116"/>
      <c r="F28" s="106">
        <f>IF(A18 = "", Fin, IF(A18&gt;DATE(YEAR(A18),3,20),IF(A18&lt;DATE(YEAR(A18),12,21),7 / 24,6 / 24),6 /24))</f>
        <v>0.29166666666666669</v>
      </c>
      <c r="G28" s="107">
        <f>IF(A21 = "", Fin, IF(A21&gt;DATE(YEAR(A21),3,20),IF(A21&lt;DATE(YEAR(A21),12,21),7 / 24,6 / 24),6 /24))</f>
        <v>0.29166666666666669</v>
      </c>
      <c r="H28" s="102"/>
    </row>
    <row r="29" spans="1:8" ht="17.25" customHeight="1" thickBot="1">
      <c r="A29" s="78">
        <f>IF(A9= "", Fin, IF(A9&gt;DATE(YEAR(A9),3,20),IF(A9&lt;DATE(YEAR(A9),12,21),7 / 24,6 / 24),6 /24))</f>
        <v>0.29166666666666669</v>
      </c>
      <c r="B29" s="106">
        <f>COUNTIF(E5,"&lt;&gt;0" )+COUNTIF(E8,"&lt;&gt;0")+COUNTIF(E11,"&lt;&gt;0")+COUNTIF(E14,"&lt;&gt;0")+COUNTIF(E17,"&lt;&gt;0")+COUNTIF(E20,"&lt;&gt;0")+COUNTIF(E23,"&lt;&gt;0")</f>
        <v>0</v>
      </c>
      <c r="C29" s="144" t="s">
        <v>41</v>
      </c>
      <c r="D29" s="132" t="s">
        <v>43</v>
      </c>
      <c r="E29" s="99">
        <f>IF(B29&gt;=5,IF(E26=0/24,0/24,IF(E26&lt;35/24,35/24,E26)),E26)</f>
        <v>0</v>
      </c>
      <c r="F29" s="101"/>
      <c r="G29" s="104"/>
      <c r="H29" s="105"/>
    </row>
    <row r="30" spans="1:8" ht="17.25" customHeight="1">
      <c r="A30" s="78">
        <f>IF(A12 = "", Fin, IF(A12&gt;DATE(YEAR(A12),3,20),IF(A12&lt;DATE(YEAR(A12),12,21),7 / 24,6 / 24),6 /24))</f>
        <v>0.29166666666666669</v>
      </c>
      <c r="B30" s="101"/>
      <c r="C30" s="120"/>
      <c r="D30" s="121" t="s">
        <v>36</v>
      </c>
      <c r="E30" s="133">
        <f>IF(E26&gt;35 / 24,35 / 24,E26)</f>
        <v>0</v>
      </c>
      <c r="F30" s="100"/>
      <c r="G30" s="173" t="s">
        <v>35</v>
      </c>
      <c r="H30" s="174"/>
    </row>
    <row r="31" spans="1:8" s="3" customFormat="1" ht="17.25" customHeight="1">
      <c r="A31" s="148">
        <f>IF(A15 = "", Fin, IF(A15&gt;DATE(YEAR(A15),3,20),IF(A15&lt;DATE(YEAR(A15),12,21),7 / 24,6 / 24),6 /24))</f>
        <v>0.29166666666666669</v>
      </c>
      <c r="B31" s="100"/>
      <c r="C31" s="122" t="s">
        <v>37</v>
      </c>
      <c r="D31" s="123" t="s">
        <v>38</v>
      </c>
      <c r="E31" s="134">
        <f>IF(E26&gt;35 / 24,IF(E26&lt;43 / 24,E26-35 / 24,8 / 24),0 / 24)</f>
        <v>0</v>
      </c>
      <c r="F31" s="100"/>
      <c r="G31" s="171" t="s">
        <v>12</v>
      </c>
      <c r="H31" s="172"/>
    </row>
    <row r="32" spans="1:8" s="3" customFormat="1" ht="17.25" customHeight="1" thickBot="1">
      <c r="A32" s="148">
        <f>IF(A18 = "", Fin, IF(A18&gt;DATE(YEAR(A18),3,20),IF(A18&lt;DATE(YEAR(A18),12,21),7 / 24,6 / 24),6 /24))</f>
        <v>0.29166666666666669</v>
      </c>
      <c r="B32" s="100"/>
      <c r="C32" s="124" t="s">
        <v>42</v>
      </c>
      <c r="D32" s="125" t="s">
        <v>39</v>
      </c>
      <c r="E32" s="135">
        <f>IF(E26&gt;43 / 24,E26- 43 / 24,0 /24)</f>
        <v>0</v>
      </c>
      <c r="F32" s="100"/>
      <c r="G32" s="73"/>
      <c r="H32" s="103"/>
    </row>
    <row r="33" spans="1:8" s="3" customFormat="1" ht="17.25" customHeight="1">
      <c r="A33" s="148">
        <f>IF(A21 = "", Fin, IF(A21&gt;DATE(YEAR(A21),3,20),IF(A21&lt;DATE(YEAR(A21),12,21),7 / 24,6 / 24),6 /24))</f>
        <v>0.29166666666666669</v>
      </c>
      <c r="B33" s="150" t="s">
        <v>10</v>
      </c>
      <c r="C33" s="167"/>
      <c r="D33" s="168" t="s">
        <v>44</v>
      </c>
      <c r="E33" s="169">
        <f>F26</f>
        <v>0</v>
      </c>
      <c r="F33" s="100"/>
      <c r="G33" s="116"/>
      <c r="H33" s="115"/>
    </row>
    <row r="34" spans="1:8" s="3" customFormat="1" ht="17.25" customHeight="1">
      <c r="A34" s="149">
        <f>IF(A24 = "", Fin, IF(A24&gt;DATE(YEAR(A24),3,20),IF(A24&lt;DATE(YEAR(A24),12,21),7 / 24,6 / 24),6 /24))</f>
        <v>0.29166666666666669</v>
      </c>
      <c r="B34" s="151">
        <f>IF(D2&gt;DATE(YEAR(D2),3,20),IF(D2&lt;DATE(YEAR(D2),12,21),22/24,20/24),20/24)</f>
        <v>0.91666666666666663</v>
      </c>
      <c r="C34" s="128"/>
      <c r="D34" s="129" t="s">
        <v>45</v>
      </c>
      <c r="E34" s="137">
        <f>G26</f>
        <v>0</v>
      </c>
      <c r="F34" s="100"/>
      <c r="G34" s="116"/>
      <c r="H34" s="115"/>
    </row>
    <row r="35" spans="1:8" s="3" customFormat="1" ht="17.25" customHeight="1">
      <c r="A35" s="117"/>
      <c r="B35" s="152" t="s">
        <v>11</v>
      </c>
      <c r="C35" s="130"/>
      <c r="D35" s="127" t="s">
        <v>40</v>
      </c>
      <c r="E35" s="136">
        <f>H26</f>
        <v>0</v>
      </c>
      <c r="F35" s="118"/>
      <c r="G35" s="118"/>
      <c r="H35" s="119"/>
    </row>
    <row r="36" spans="1:8" s="3" customFormat="1" ht="17.25" customHeight="1" thickBot="1">
      <c r="A36" s="117"/>
      <c r="B36" s="153">
        <f>IF(D2&gt;DATE(YEAR(D2),3,20),IF(D2&lt;DATE(YEAR(D2),12,21),7 / 24,6 / 24),6 /24)</f>
        <v>0.29166666666666669</v>
      </c>
      <c r="C36" s="128"/>
      <c r="D36" s="129" t="str">
        <f>IF(E36&lt;=1, "JOURNEE CONTINUE", "JOURNEES CONTINUES")</f>
        <v>JOURNEE CONTINUE</v>
      </c>
      <c r="E36" s="154">
        <f>COUNTIF(E6, "&lt;&gt;0")+COUNTIF(E9, "&lt;&gt;0")+COUNTIF(E12, "&lt;&gt;0")+COUNTIF(E15, "&lt;&gt;0")+COUNTIF(E18, "&lt;&gt;0")+COUNTIF(E21, "&lt;&gt;0")+COUNTIF(E24, "&lt;&gt;0")</f>
        <v>0</v>
      </c>
      <c r="F36" s="118"/>
      <c r="G36" s="118"/>
      <c r="H36" s="119"/>
    </row>
    <row r="37" spans="1:8" s="3" customFormat="1" ht="17.25" customHeight="1">
      <c r="A37" s="117"/>
      <c r="C37" s="126"/>
      <c r="D37" s="127" t="s">
        <v>47</v>
      </c>
      <c r="E37" s="136">
        <v>0</v>
      </c>
      <c r="F37" s="118"/>
      <c r="G37" s="118"/>
      <c r="H37" s="119"/>
    </row>
    <row r="38" spans="1:8" s="3" customFormat="1" ht="17.25" customHeight="1" thickBot="1">
      <c r="A38" s="117"/>
      <c r="B38" s="143"/>
      <c r="C38" s="131"/>
      <c r="D38" s="145" t="s">
        <v>46</v>
      </c>
      <c r="E38" s="146">
        <f>IF(B7&lt;&gt;"",E5,IF(B10&lt;&gt;"",E8,IF(B13&lt;&gt;"",E11,IF(B16&lt;&gt;"",E14,IF(B19&lt;&gt;"",E17,IF(B22&lt;&gt;"",E20, IF(B25&lt;&gt;"",E23, 0)))))))</f>
        <v>0</v>
      </c>
      <c r="F38" s="118"/>
      <c r="G38" s="118"/>
      <c r="H38" s="119"/>
    </row>
    <row r="39" spans="1:8" ht="17.25" customHeight="1">
      <c r="A39" s="117"/>
      <c r="B39" s="118"/>
      <c r="C39" s="116"/>
      <c r="D39" s="116"/>
      <c r="E39" s="116"/>
      <c r="F39" s="118"/>
      <c r="G39" s="118"/>
      <c r="H39" s="119"/>
    </row>
    <row r="40" spans="1:8">
      <c r="A40" s="138"/>
      <c r="B40" s="116"/>
      <c r="C40" s="116"/>
      <c r="D40" s="116"/>
      <c r="E40" s="116"/>
      <c r="F40" s="116"/>
      <c r="G40" s="116"/>
      <c r="H40" s="139"/>
    </row>
    <row r="41" spans="1:8">
      <c r="A41" s="140"/>
      <c r="B41" s="141"/>
      <c r="C41" s="141"/>
      <c r="D41" s="141"/>
      <c r="E41" s="141"/>
      <c r="F41" s="141"/>
      <c r="G41" s="141"/>
      <c r="H41" s="142"/>
    </row>
  </sheetData>
  <sheetProtection sheet="1" selectLockedCells="1"/>
  <mergeCells count="2">
    <mergeCell ref="G31:H31"/>
    <mergeCell ref="G30:H30"/>
  </mergeCells>
  <printOptions horizontalCentered="1"/>
  <pageMargins left="0" right="0" top="0.15748031496062992" bottom="0.15748031496062992" header="0.11811023622047244" footer="0.11811023622047244"/>
  <pageSetup paperSize="9" scale="7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9032-E592-4B72-8002-B584C4E506D9}">
  <sheetPr>
    <tabColor theme="6"/>
    <pageSetUpPr fitToPage="1"/>
  </sheetPr>
  <dimension ref="A1:H41"/>
  <sheetViews>
    <sheetView zoomScale="75" zoomScaleNormal="75" workbookViewId="0">
      <selection activeCell="F2" sqref="F2"/>
    </sheetView>
  </sheetViews>
  <sheetFormatPr baseColWidth="10" defaultColWidth="10.625" defaultRowHeight="11.4"/>
  <cols>
    <col min="1" max="8" width="24.625" style="1" customWidth="1"/>
    <col min="9" max="186" width="10.625" style="2" customWidth="1"/>
    <col min="187" max="16384" width="10.625" style="2"/>
  </cols>
  <sheetData>
    <row r="1" spans="1:8" ht="30" customHeight="1">
      <c r="A1" s="17" t="s">
        <v>0</v>
      </c>
      <c r="B1" s="28" t="str">
        <f>'1er Ass OPV'!B1</f>
        <v>"Production"</v>
      </c>
      <c r="C1" s="66"/>
      <c r="D1" s="41" t="str">
        <f>'1er Ass OPV'!D1</f>
        <v>Semaine N°</v>
      </c>
      <c r="E1" s="18" t="s">
        <v>1</v>
      </c>
      <c r="F1" s="28" t="str">
        <f>'1er Ass OPV'!F1</f>
        <v>Caméra</v>
      </c>
      <c r="G1" s="64"/>
      <c r="H1" s="13"/>
    </row>
    <row r="2" spans="1:8" ht="19.95" customHeight="1">
      <c r="A2" s="19" t="s">
        <v>14</v>
      </c>
      <c r="B2" s="29" t="str">
        <f>'1er Ass OPV'!B2</f>
        <v>"Film"</v>
      </c>
      <c r="C2" s="38" t="s">
        <v>27</v>
      </c>
      <c r="D2" s="40">
        <f>'1er Ass OPV'!D2</f>
        <v>43984</v>
      </c>
      <c r="E2" s="38" t="s">
        <v>3</v>
      </c>
      <c r="F2" s="29" t="s">
        <v>24</v>
      </c>
      <c r="G2" s="63"/>
      <c r="H2" s="39"/>
    </row>
    <row r="3" spans="1:8" ht="19.95" customHeight="1" thickBot="1">
      <c r="A3" s="19"/>
      <c r="B3" s="63"/>
      <c r="C3" s="38" t="s">
        <v>28</v>
      </c>
      <c r="D3" s="162">
        <f>D2+DAY(5)</f>
        <v>43990</v>
      </c>
      <c r="E3" s="20"/>
      <c r="F3" s="62"/>
      <c r="G3" s="62"/>
      <c r="H3" s="14"/>
    </row>
    <row r="4" spans="1:8" s="3" customFormat="1" ht="46.5" customHeight="1">
      <c r="A4" s="7" t="s">
        <v>4</v>
      </c>
      <c r="B4" s="8" t="s">
        <v>15</v>
      </c>
      <c r="C4" s="8" t="s">
        <v>31</v>
      </c>
      <c r="D4" s="10" t="s">
        <v>5</v>
      </c>
      <c r="E4" s="8" t="s">
        <v>6</v>
      </c>
      <c r="F4" s="9" t="s">
        <v>7</v>
      </c>
      <c r="G4" s="10" t="s">
        <v>29</v>
      </c>
      <c r="H4" s="11" t="s">
        <v>8</v>
      </c>
    </row>
    <row r="5" spans="1:8" ht="17.25" customHeight="1">
      <c r="A5" s="12" t="str">
        <f>CHOOSE(WEEKDAY(A6,2),"LUNDI","MARDI","MERCREDI","JEUDI","VENDREDI","SAMEDI","DIMANCHE")</f>
        <v>LUNDI</v>
      </c>
      <c r="B5" s="21" t="str">
        <f>IF(OR(C5&lt;&gt;0, C6 &lt;&gt;0,), IF(MOD(C6-C5, 1) &lt; 0.041, "(pause réduite)", ""), "")</f>
        <v/>
      </c>
      <c r="C5" s="65">
        <f>'1er Ass OPV'!C5</f>
        <v>0</v>
      </c>
      <c r="D5" s="43">
        <f>'1er Ass OPV'!D5</f>
        <v>0</v>
      </c>
      <c r="E5" s="21">
        <f>IF(D5= " ",0/24,((MOD(D6-D5,1))-MOD(C6-C5,1)))</f>
        <v>0</v>
      </c>
      <c r="F5" s="2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21">
        <v>0</v>
      </c>
      <c r="H5" s="32">
        <f>'1er Ass OPV'!H5</f>
        <v>0</v>
      </c>
    </row>
    <row r="6" spans="1:8" ht="17.25" customHeight="1">
      <c r="A6" s="42">
        <f>D2</f>
        <v>43984</v>
      </c>
      <c r="B6" s="48" t="str">
        <f>IF(E6=0 / 24, "","(journée continue)")</f>
        <v/>
      </c>
      <c r="C6" s="65">
        <f>'1er Ass OPV'!C6</f>
        <v>0</v>
      </c>
      <c r="D6" s="43">
        <f>'1er Ass OPV'!D6</f>
        <v>0</v>
      </c>
      <c r="E6" s="22">
        <f>SUM(D7,E7)</f>
        <v>0</v>
      </c>
      <c r="F6" s="2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4"/>
      <c r="H6" s="163"/>
    </row>
    <row r="7" spans="1:8" ht="17.25" customHeight="1">
      <c r="A7" s="47">
        <f>IF(A6="", Deb, IF(A6&gt;DATE(YEAR(A6),3,20),IF(A6&lt;DATE(YEAR(A6),12,21),22 / 24,20 / 24),20 /24))</f>
        <v>0.91666666666666663</v>
      </c>
      <c r="B7" s="46" t="str">
        <f>IF(A6 &lt;&gt; "", IF(A5="DIMANCHE", "(majoration dimanche)", ""), "")</f>
        <v/>
      </c>
      <c r="C7" s="50">
        <f>IF(C6 = C5, (MOD(D6-D5,1)),0)</f>
        <v>0</v>
      </c>
      <c r="D7" s="44">
        <f>IF(C5=0 / 24,0,IF((MOD(C5-D5,1))&lt;6 / 24,0,0.5 / 24))</f>
        <v>0</v>
      </c>
      <c r="E7" s="16">
        <f>IF(C7&gt;=(6 / 24),0.5 / 24,(IF(C5 = C6, IF(MOD(D6-D5, 1) &lt;6/24, 0, 0.5/24), IF((MOD(D6-C6,1))&lt;6/24,0,0.5/24))))</f>
        <v>0</v>
      </c>
      <c r="F7" s="6" t="str">
        <f>IF(OR(F6=" ", F6=0)," ","(minoration repas nuit)")</f>
        <v xml:space="preserve"> </v>
      </c>
      <c r="G7" s="67"/>
      <c r="H7" s="15">
        <f>IF((E5)&lt;12/24,0/24,(E5)-12/24)</f>
        <v>0</v>
      </c>
    </row>
    <row r="8" spans="1:8" ht="17.25" customHeight="1">
      <c r="A8" s="12" t="str">
        <f>CHOOSE(WEEKDAY(A6+1,2),"LUNDI","MARDI","MERCREDI","JEUDI","VENDREDI","SAMEDI","DIMANCHE")</f>
        <v>MARDI</v>
      </c>
      <c r="B8" s="51" t="str">
        <f>IF(OR(C8&lt;&gt;0, C9 &lt;&gt;0,), IF(MOD(C9-C8, 1) &lt; 0.041, "(pause réduite)", ""), "")</f>
        <v/>
      </c>
      <c r="C8" s="65">
        <f>'1er Ass OPV'!C8</f>
        <v>0</v>
      </c>
      <c r="D8" s="43">
        <f>'1er Ass OPV'!D8</f>
        <v>0</v>
      </c>
      <c r="E8" s="21">
        <f>IF(D8= " ",0/24,((MOD(D9-D8,1))-MOD(C9-C8,1)))</f>
        <v>0</v>
      </c>
      <c r="F8" s="2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21">
        <f>IF(AND(D5=0, D6=0), 0/24, (IF(D8=0/24,0/24,IF((MOD(D8-D6,1))&gt;=11/24,0/24,11/24-(MOD(D8-D6,1))))))</f>
        <v>0</v>
      </c>
      <c r="H8" s="32">
        <f>'1er Ass OPV'!H8</f>
        <v>0</v>
      </c>
    </row>
    <row r="9" spans="1:8" ht="17.25" customHeight="1">
      <c r="A9" s="42">
        <f>IF(AND(DATE(YEAR(D2),MONTH(D2),DAY(D2))&lt;DATE(YEAR(D3),MONTH(D3),DAY(D3)), A6&lt;&gt;""),DATE(YEAR(D2),MONTH(D2),DAY(D2)+1),"")</f>
        <v>43985</v>
      </c>
      <c r="B9" s="5" t="str">
        <f>IF(E9=0 / 24, "","(journée continue)")</f>
        <v/>
      </c>
      <c r="C9" s="65">
        <f>'1er Ass OPV'!C9</f>
        <v>0</v>
      </c>
      <c r="D9" s="43">
        <f>'1er Ass OPV'!D9</f>
        <v>0</v>
      </c>
      <c r="E9" s="22">
        <f>SUM(D10,E10)</f>
        <v>0</v>
      </c>
      <c r="F9" s="2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4"/>
      <c r="H9" s="164"/>
    </row>
    <row r="10" spans="1:8" ht="17.25" customHeight="1">
      <c r="A10" s="47">
        <f>IF(A9="", Deb, IF(A9&gt;DATE(YEAR(A9),3,20),IF(A9&lt;DATE(YEAR(A9),12,21),22 / 24,20 / 24),20 /24))</f>
        <v>0.91666666666666663</v>
      </c>
      <c r="B10" s="46" t="str">
        <f>IF(A9 &lt;&gt; "", IF(A8="DIMANCHE", "(majoration dimanche)", ""), "")</f>
        <v/>
      </c>
      <c r="C10" s="50">
        <f>IF(C9 = C8, (MOD(D9-D8,1)),0)</f>
        <v>0</v>
      </c>
      <c r="D10" s="44">
        <f>IF(C8=0 / 24,0,IF((MOD(C8-D8,1))&lt;6 / 24,0,0.5 / 24))</f>
        <v>0</v>
      </c>
      <c r="E10" s="50">
        <f>IF(C10&gt;=(6 / 24),0.5 / 24,(IF(C8 = C9, IF(MOD(D9-D8, 1) &lt;6 /24, 0, 0.5/24), IF((MOD(D9-C9,1))&lt;6/24,0,0.5/24))))</f>
        <v>0</v>
      </c>
      <c r="F10" s="6" t="str">
        <f>IF(F9=" "," ","(minoration repas nuit)")</f>
        <v xml:space="preserve"> </v>
      </c>
      <c r="G10" s="67"/>
      <c r="H10" s="15">
        <f>IF((E8)&lt;12/24,0/24,(E8)-12/24)</f>
        <v>0</v>
      </c>
    </row>
    <row r="11" spans="1:8" ht="17.25" customHeight="1">
      <c r="A11" s="12" t="str">
        <f>CHOOSE(WEEKDAY(A6+2,2),"LUNDI","MARDI","MERCREDI","JEUDI","VENDREDI","SAMEDI","DIMANCHE")</f>
        <v>MERCREDI</v>
      </c>
      <c r="B11" s="51" t="str">
        <f>IF(OR(C11&lt;&gt;0, C12 &lt;&gt;0,), IF(MOD(C12-C11, 1) &lt; 0.041, "(pause réduite)", ""), "")</f>
        <v/>
      </c>
      <c r="C11" s="65">
        <f>'1er Ass OPV'!C11</f>
        <v>0</v>
      </c>
      <c r="D11" s="43">
        <f>'1er Ass OPV'!D11</f>
        <v>0</v>
      </c>
      <c r="E11" s="21">
        <f>IF(D11= " ",0/24,((MOD(D12-D11,1))-MOD(C12-C11,1)))</f>
        <v>0</v>
      </c>
      <c r="F11" s="2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21">
        <f>IF(AND(D8=0, D9=0), 0/24, (IF(D11=0/24,0/24,IF((MOD(D11-D9,1))&gt;=11/24,0/24,11/24-(MOD(D11-D9,1))))))</f>
        <v>0</v>
      </c>
      <c r="H11" s="32">
        <f>'1er Ass OPV'!H11</f>
        <v>0</v>
      </c>
    </row>
    <row r="12" spans="1:8" ht="17.25" customHeight="1">
      <c r="A12" s="42">
        <f>IF(AND(DATE(YEAR(A9),MONTH(A9),DAY(A9))&lt;DATE(YEAR(D3),MONTH(D3),DAY(D3)), A9&lt;&gt;""),DATE(YEAR(D2),MONTH(D2),DAY(D2)+2), "")</f>
        <v>43986</v>
      </c>
      <c r="B12" s="5" t="str">
        <f>IF(E12=0 / 24, "","(journée continue)")</f>
        <v/>
      </c>
      <c r="C12" s="65">
        <f>'1er Ass OPV'!C12</f>
        <v>0</v>
      </c>
      <c r="D12" s="45">
        <f>'1er Ass OPV'!D12</f>
        <v>0</v>
      </c>
      <c r="E12" s="22">
        <f>SUM(D13,E13)</f>
        <v>0</v>
      </c>
      <c r="F12" s="2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4"/>
      <c r="H12" s="165"/>
    </row>
    <row r="13" spans="1:8" ht="17.25" customHeight="1">
      <c r="A13" s="47">
        <f>IF(A12="", Deb, IF(A12&gt;DATE(YEAR(A12),3,20),IF(A12&lt;DATE(YEAR(A12),12,21),22 / 24,20 / 24),20 /24))</f>
        <v>0.91666666666666663</v>
      </c>
      <c r="B13" s="6" t="str">
        <f>IF(A12 &lt;&gt; "", IF(A11="DIMANCHE", "(majoration dimanche)", ""), "")</f>
        <v/>
      </c>
      <c r="C13" s="50">
        <f>IF(C12 = C11, (MOD(D12-D11,1)),0)</f>
        <v>0</v>
      </c>
      <c r="D13" s="44">
        <f>IF(C11=0 / 24,0,IF((MOD(C11-D11,1))&lt;6 / 24,0,0.5 / 24))</f>
        <v>0</v>
      </c>
      <c r="E13" s="16">
        <f>IF(C13&gt;=(6 / 24),0.5 / 24,(IF(C11 = C12, IF(MOD(D12-D11, 1) &lt;6/24, 0, 0.5/24), IF((MOD(D12-C12,1))&lt;6/24,0,0.5/24))))</f>
        <v>0</v>
      </c>
      <c r="F13" s="6" t="str">
        <f>IF(F12=" "," ","(minoration repas nuit)")</f>
        <v xml:space="preserve"> </v>
      </c>
      <c r="G13" s="68"/>
      <c r="H13" s="15">
        <f>IF((E11)&lt;12/24,0/24,(E11)-12/24)</f>
        <v>0</v>
      </c>
    </row>
    <row r="14" spans="1:8" ht="17.25" customHeight="1">
      <c r="A14" s="12" t="str">
        <f>CHOOSE(WEEKDAY(A6+3,2),"LUNDI","MARDI","MERCREDI","JEUDI","VENDREDI","SAMEDI","DIMANCHE")</f>
        <v>JEUDI</v>
      </c>
      <c r="B14" s="51" t="str">
        <f>IF(OR(C14&lt;&gt;0, C15 &lt;&gt;0,), IF(MOD(C15-C14, 1) &lt; 0.041, "(pause réduite)", ""), "")</f>
        <v/>
      </c>
      <c r="C14" s="65">
        <f>'1er Ass OPV'!C14</f>
        <v>0</v>
      </c>
      <c r="D14" s="43">
        <f>'1er Ass OPV'!D14</f>
        <v>0</v>
      </c>
      <c r="E14" s="21">
        <f>IF(D14= " ",0/24,((MOD(D15-D14,1))-MOD(C15-C14,1)))</f>
        <v>0</v>
      </c>
      <c r="F14" s="2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21">
        <f>IF(AND(D11=0, D12=0), 0/24, (IF(D14=0/24,0/24,IF((MOD(D14-D12,1))&gt;= 11/24, 0/24, (11/24- (MOD(D14-D12,1)))))))</f>
        <v>0</v>
      </c>
      <c r="H14" s="32">
        <f>'1er Ass OPV'!H14</f>
        <v>0</v>
      </c>
    </row>
    <row r="15" spans="1:8" ht="17.25" customHeight="1">
      <c r="A15" s="42">
        <f>IF(A12&lt;&gt; "", (IF(DATE(YEAR(A12),MONTH(A12),DAY(A12))&lt;DATE(YEAR(D3),MONTH(D3),DAY(D3)),DATE(YEAR(D2),MONTH(D2),(DAY(D2)+3)), "")), "")</f>
        <v>43987</v>
      </c>
      <c r="B15" s="5" t="str">
        <f>IF(E15=0 / 24, "","(journée continue)")</f>
        <v/>
      </c>
      <c r="C15" s="65">
        <f>'1er Ass OPV'!C15</f>
        <v>0</v>
      </c>
      <c r="D15" s="43">
        <f>'1er Ass OPV'!D15</f>
        <v>0</v>
      </c>
      <c r="E15" s="22">
        <f>SUM(D16,E16)</f>
        <v>0</v>
      </c>
      <c r="F15" s="2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4"/>
      <c r="H15" s="164"/>
    </row>
    <row r="16" spans="1:8" ht="17.25" customHeight="1">
      <c r="A16" s="47">
        <f>IF(A15="", Deb, IF(A15&gt;DATE(YEAR(A15),3,20),IF(A15&lt;DATE(YEAR(A15),12,21),22 / 24,20 / 24),20 /24))</f>
        <v>0.91666666666666663</v>
      </c>
      <c r="B16" s="6" t="str">
        <f>IF(A15 &lt;&gt; "", IF(A14="DIMANCHE", "(majoration dimanche)", ""), "")</f>
        <v/>
      </c>
      <c r="C16" s="50">
        <f>IF(C14 = C15, (MOD(D15-D14,1)),0)</f>
        <v>0</v>
      </c>
      <c r="D16" s="44">
        <f>IF(C14=0 / 24,0,IF((MOD(C14-D14,1))&lt;6 / 24,0,0.5 / 24))</f>
        <v>0</v>
      </c>
      <c r="E16" s="16">
        <f>IF(C16&gt;=(6 / 24),0.5 / 24,(IF(C15 = C14, IF(MOD(D15-D14, 1) &lt;6/24, 0, 0.5/24), IF((MOD(D15-C15,1))&lt;6/24,0,0.5/24))))</f>
        <v>0</v>
      </c>
      <c r="F16" s="6" t="str">
        <f>IF(F15=" "," ","(minoration repas nuit)")</f>
        <v xml:space="preserve"> </v>
      </c>
      <c r="G16" s="16"/>
      <c r="H16" s="15">
        <f>IF((E14)&lt;12/24,0/24,(E14)-12/24)</f>
        <v>0</v>
      </c>
    </row>
    <row r="17" spans="1:8" ht="17.25" customHeight="1">
      <c r="A17" s="12" t="str">
        <f>CHOOSE(WEEKDAY(A6+4,2),"LUNDI","MARDI","MERCREDI","JEUDI","VENDREDI","SAMEDI","DIMANCHE")</f>
        <v>VENDREDI</v>
      </c>
      <c r="B17" s="51" t="str">
        <f>IF(OR(C17&lt;&gt;0, C18 &lt;&gt;0,), IF(MOD(C18-C17, 1) &lt; 0.041, "(pause réduite)", ""), "")</f>
        <v/>
      </c>
      <c r="C17" s="65">
        <f>'1er Ass OPV'!C17</f>
        <v>0</v>
      </c>
      <c r="D17" s="43">
        <f>'1er Ass OPV'!D17</f>
        <v>0</v>
      </c>
      <c r="E17" s="21">
        <f>IF(D17=" ",0/24,((MOD(D18-D17,1))-MOD(C18-C17,1)))</f>
        <v>0</v>
      </c>
      <c r="F17" s="2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21">
        <f>IF(AND(D14=0, D15=0), 0/24,(IF(D17=0/24,0/24,IF((MOD(D17-D15,1))&gt;=11/24,0/24,11/24-(MOD(D17-D15,1))))))</f>
        <v>0</v>
      </c>
      <c r="H17" s="32">
        <f>'1er Ass OPV'!H17</f>
        <v>0</v>
      </c>
    </row>
    <row r="18" spans="1:8" ht="17.25" customHeight="1">
      <c r="A18" s="42">
        <f>IF(A15&lt;&gt; "", (IF(DATE(YEAR(A15),MONTH(A15),DAY(A15))&lt;DATE(YEAR(D3),MONTH(D3),DAY(D3)),DATE(YEAR(D2),MONTH(D2),(DAY(D2)+4)), "")), "")</f>
        <v>43988</v>
      </c>
      <c r="B18" s="5" t="str">
        <f>IF(E18=0 / 24, "","(journée continue)")</f>
        <v/>
      </c>
      <c r="C18" s="65">
        <f>'1er Ass OPV'!C18</f>
        <v>0</v>
      </c>
      <c r="D18" s="43">
        <f>'1er Ass OPV'!D18</f>
        <v>0</v>
      </c>
      <c r="E18" s="22">
        <f>SUM(D19,E19)</f>
        <v>0</v>
      </c>
      <c r="F18" s="2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4"/>
      <c r="H18" s="164"/>
    </row>
    <row r="19" spans="1:8" ht="17.25" customHeight="1">
      <c r="A19" s="47">
        <f>IF(A18="", Deb, IF(A18&gt;DATE(YEAR(A18),3,20),IF(A18&lt;DATE(YEAR(A18),12,21),22 / 24,20 / 24),20 /24))</f>
        <v>0.91666666666666663</v>
      </c>
      <c r="B19" s="6" t="str">
        <f>IF(A18 &lt;&gt; "", IF(A17="DIMANCHE", "(majoration dimanche)", ""), "")</f>
        <v/>
      </c>
      <c r="C19" s="50">
        <f>IF(C17 = C18, (MOD(D18-D17,1)),0)</f>
        <v>0</v>
      </c>
      <c r="D19" s="44">
        <f>IF(C17=0 / 24,0,IF((MOD(C17-D17,1))&lt;6 / 24,0,0.5 / 24))</f>
        <v>0</v>
      </c>
      <c r="E19" s="16">
        <f>IF(C19&gt;=(6 / 24),0.5 / 24,(IF(C17 = C18, IF(MOD(D18-D17, 1) &lt;6/24, 0, 0.5/24), IF((MOD(D18-C18,1))&lt;6/24,0,0.5/24))))</f>
        <v>0</v>
      </c>
      <c r="F19" s="6" t="str">
        <f>IF(F18=" "," ","(minoration repas nuit)")</f>
        <v xml:space="preserve"> </v>
      </c>
      <c r="G19" s="49"/>
      <c r="H19" s="15">
        <f>IF((E17)&lt;12/24,0/24,(E17)-12/24)</f>
        <v>0</v>
      </c>
    </row>
    <row r="20" spans="1:8" ht="17.25" customHeight="1">
      <c r="A20" s="12" t="str">
        <f>CHOOSE(WEEKDAY(A6+5,2),"LUNDI","MARDI","MERCREDI","JEUDI","VENDREDI","SAMEDI","DIMANCHE")</f>
        <v>SAMEDI</v>
      </c>
      <c r="B20" s="51" t="str">
        <f>IF(OR(C21&lt;&gt;0, C22 &lt;&gt;0,), IF(MOD(C21-C20, 1) &lt; 0.041, "(pause réduite)", ""), "")</f>
        <v/>
      </c>
      <c r="C20" s="65">
        <f>'1er Ass OPV'!C20</f>
        <v>0</v>
      </c>
      <c r="D20" s="43">
        <f>'1er Ass OPV'!D20</f>
        <v>0</v>
      </c>
      <c r="E20" s="21">
        <f>IF(D20= " ",0/24,((MOD(D21-D20,1))-MOD(C21-C20,1)))</f>
        <v>0</v>
      </c>
      <c r="F20" s="2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21">
        <f>IF(AND(D17=0, D18=0),0/24, (IF(D20=0/24,0/24,IF((MOD(D20-D18,1))&gt;=11/24,0/24, 11/24-(MOD(D20-D18,1))))))</f>
        <v>0</v>
      </c>
      <c r="H20" s="32">
        <f>'1er Ass OPV'!H20</f>
        <v>0</v>
      </c>
    </row>
    <row r="21" spans="1:8" ht="17.25" customHeight="1">
      <c r="A21" s="42">
        <f>IF(A18&lt;&gt; "", (IF(DATE(YEAR(A18),MONTH(A18),DAY(A18))&lt;DATE(YEAR(D3),MONTH(D3),DAY(D3)),DATE(YEAR(D2),MONTH(D2),(DAY(D2)+5)), "")), "")</f>
        <v>43989</v>
      </c>
      <c r="B21" s="5" t="str">
        <f>IF(E21=0 / 24, "","(journée continue)")</f>
        <v/>
      </c>
      <c r="C21" s="65">
        <f>'1er Ass OPV'!C21</f>
        <v>0</v>
      </c>
      <c r="D21" s="43">
        <f>'1er Ass OPV'!D21</f>
        <v>0</v>
      </c>
      <c r="E21" s="22">
        <f>SUM(D22,E22)</f>
        <v>0</v>
      </c>
      <c r="F21" s="2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4"/>
      <c r="H21" s="166"/>
    </row>
    <row r="22" spans="1:8" ht="17.25" customHeight="1">
      <c r="A22" s="47">
        <f>IF(A21="", Deb, IF(A21&gt;DATE(YEAR(A21),3,20),IF(A21&lt;DATE(YEAR(A21),12,21),22 / 24,20 / 24),20 /24))</f>
        <v>0.91666666666666663</v>
      </c>
      <c r="B22" s="6" t="str">
        <f>IF(A21&lt;&gt;"",IF(A20="DIMANCHE","(majoration dimanche)",""), "")</f>
        <v/>
      </c>
      <c r="C22" s="50">
        <f>IF(C20 = C21, (MOD(D21-D20,1)),0)</f>
        <v>0</v>
      </c>
      <c r="D22" s="44">
        <f>IF(C20=0 / 24,0,IF((MOD(C20-D20,1))&lt;6 / 24,0,0.5 / 24))</f>
        <v>0</v>
      </c>
      <c r="E22" s="16">
        <f>IF(C22&gt;=(6 / 24),0.5 / 24,(IF(C21 = C20, IF(MOD(D21-D20, 1) &lt;6/24, 0, 0.5/24), IF((MOD(D21-C21,1))&lt;6/24,0,0.5/24))))</f>
        <v>0</v>
      </c>
      <c r="F22" s="6" t="str">
        <f>IF(F21=" "," ","(minoration repas nuit)")</f>
        <v xml:space="preserve"> </v>
      </c>
      <c r="G22" s="16"/>
      <c r="H22" s="15">
        <f>IF((E20)&lt;12/24,0/24,(E20)-12/24)</f>
        <v>0</v>
      </c>
    </row>
    <row r="23" spans="1:8" ht="17.25" customHeight="1">
      <c r="A23" s="12" t="str">
        <f>CHOOSE(WEEKDAY(A9+5,2),"LUNDI","MARDI","MERCREDI","JEUDI","VENDREDI","SAMEDI","DIMANCHE")</f>
        <v>DIMANCHE</v>
      </c>
      <c r="B23" s="51" t="str">
        <f>IF(OR(C24&lt;&gt;0, C25 &lt;&gt;0,), IF(MOD(C24-C23, 1) &lt; 0.041, "(pause réduite)", ""), "")</f>
        <v/>
      </c>
      <c r="C23" s="65">
        <f>'1er Ass OPV'!C23</f>
        <v>0</v>
      </c>
      <c r="D23" s="43">
        <f>'1er Ass OPV'!D23</f>
        <v>0</v>
      </c>
      <c r="E23" s="21">
        <f>IF(D23= " ",0/24,((MOD(D24-D23,1))-MOD(C24-C23,1)))</f>
        <v>0</v>
      </c>
      <c r="F23" s="2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21">
        <f>IF(AND(D20=0, D21=0),0/24, (IF(D23=0/24,0/24,IF((MOD(D23-D21,1))&gt;=11/24,0/24, 11/24-(MOD(D23-D21,1))))))</f>
        <v>0</v>
      </c>
      <c r="H23" s="32">
        <f>'1er Ass OPV'!H23</f>
        <v>0</v>
      </c>
    </row>
    <row r="24" spans="1:8" s="3" customFormat="1" ht="16.8" customHeight="1">
      <c r="A24" s="42">
        <f>IF(A21&lt;&gt; "", (IF(DATE(YEAR(A21),MONTH(A21),DAY(A21))&lt;DATE(YEAR(D3),MONTH(D3),DAY(D3)),DATE(YEAR(D2),MONTH(D2),(DAY(D2)+6)), "")), "")</f>
        <v>43990</v>
      </c>
      <c r="B24" s="5" t="str">
        <f>IF(E24=0 / 24, "","(journée continue)")</f>
        <v/>
      </c>
      <c r="C24" s="65">
        <f>'1er Ass OPV'!C24</f>
        <v>0</v>
      </c>
      <c r="D24" s="43">
        <f>'1er Ass OPV'!D24</f>
        <v>0</v>
      </c>
      <c r="E24" s="22">
        <f>SUM(D25,E25)</f>
        <v>0</v>
      </c>
      <c r="F24" s="2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4"/>
      <c r="H24" s="166"/>
    </row>
    <row r="25" spans="1:8" s="3" customFormat="1" ht="16.8" customHeight="1">
      <c r="A25" s="47">
        <f>IF(A24="", Deb, IF(A24&gt;DATE(YEAR(A24),3,20),IF(A24&lt;DATE(YEAR(A24),12,21),22 / 24,20 / 24),20 /24))</f>
        <v>0.91666666666666663</v>
      </c>
      <c r="B25" s="6" t="str">
        <f>IF(A24&lt;&gt;"",IF(A23="DIMANCHE",IF(E23 &gt; 0/24, "(majoration dimanche)", ""),""),"")</f>
        <v/>
      </c>
      <c r="C25" s="50">
        <f>IF(C23 = C24, (MOD(D24-D23,1)),0)</f>
        <v>0</v>
      </c>
      <c r="D25" s="44">
        <f>IF(C23=0 / 24,0,IF((MOD(C23-D23,1))&lt;6 / 24,0,0.5 / 24))</f>
        <v>0</v>
      </c>
      <c r="E25" s="16">
        <f>IF(C25&gt;=(6 / 24),0.5 / 24,(IF(C24 = C23, IF(MOD(D24-D23, 1) &lt;6/24, 0, 0.5/24), IF((MOD(D24-C24,1))&lt;6/24,0,0.5/24))))</f>
        <v>0</v>
      </c>
      <c r="F25" s="6" t="str">
        <f>IF(F24=" "," ","(minoration repas nuit)")</f>
        <v xml:space="preserve"> </v>
      </c>
      <c r="G25" s="16">
        <f>SUM(H25+H22+H19+H16+H13+H10+H7)</f>
        <v>0</v>
      </c>
      <c r="H25" s="15">
        <f>IF((E23)&lt;12/24,0/24,(E23)-12/24)</f>
        <v>0</v>
      </c>
    </row>
    <row r="26" spans="1:8" s="3" customFormat="1" ht="16.8" customHeight="1" thickBot="1">
      <c r="A26" s="108"/>
      <c r="B26" s="109"/>
      <c r="C26" s="110"/>
      <c r="D26" s="111" t="s">
        <v>9</v>
      </c>
      <c r="E26" s="112">
        <f>SUM(E5,E8,E11,E14,E17,E20,E23)</f>
        <v>0</v>
      </c>
      <c r="F26" s="112">
        <f>SUM(F5,F6,F8,F9,F11,F12,F14,F15,F17,F18,F20,F21,F23,F24)</f>
        <v>0</v>
      </c>
      <c r="G26" s="113">
        <f>SUM(G5,G8,G11,G14,G17,G20,G23)</f>
        <v>0</v>
      </c>
      <c r="H26" s="114">
        <f>SUM(H23,H24,H21,H20,H18,H17,H15,H14,H12,H11,H9,H8,H6,H5,)</f>
        <v>0</v>
      </c>
    </row>
    <row r="27" spans="1:8" s="3" customFormat="1" ht="13.8" customHeight="1">
      <c r="A27" s="69"/>
      <c r="B27" s="70"/>
      <c r="C27" s="70"/>
      <c r="D27" s="70"/>
      <c r="E27" s="71"/>
      <c r="F27" s="71"/>
      <c r="G27" s="71"/>
      <c r="H27" s="72"/>
    </row>
    <row r="28" spans="1:8" ht="13.2" customHeight="1" thickBot="1">
      <c r="A28" s="78">
        <f>IF(A6 = "", Fin, IF(A6&gt;DATE(YEAR(A6),3,20),IF(A6&lt;DATE(YEAR(A6),12,21),7 / 24,6 / 24),6 /24))</f>
        <v>0.29166666666666669</v>
      </c>
      <c r="B28" s="106">
        <f>IF(A6 = "", Fin, IF(A6&gt;DATE(YEAR(A6),3,20),IF(A6&lt;DATE(YEAR(A6),12,21),7 / 24,6 / 24),6 /24))</f>
        <v>0.29166666666666669</v>
      </c>
      <c r="C28" s="116"/>
      <c r="D28" s="116"/>
      <c r="E28" s="116"/>
      <c r="F28" s="106">
        <f>IF(A18 = "", Fin, IF(A18&gt;DATE(YEAR(A18),3,20),IF(A18&lt;DATE(YEAR(A18),12,21),7 / 24,6 / 24),6 /24))</f>
        <v>0.29166666666666669</v>
      </c>
      <c r="G28" s="107">
        <f>IF(A21 = "", Fin, IF(A21&gt;DATE(YEAR(A21),3,20),IF(A21&lt;DATE(YEAR(A21),12,21),7 / 24,6 / 24),6 /24))</f>
        <v>0.29166666666666669</v>
      </c>
      <c r="H28" s="102"/>
    </row>
    <row r="29" spans="1:8" ht="17.25" customHeight="1" thickBot="1">
      <c r="A29" s="78">
        <f>IF(A9= "", Fin, IF(A9&gt;DATE(YEAR(A9),3,20),IF(A9&lt;DATE(YEAR(A9),12,21),7 / 24,6 / 24),6 /24))</f>
        <v>0.29166666666666669</v>
      </c>
      <c r="B29" s="147">
        <f>COUNTIF(E5,"&lt;&gt;0" )+COUNTIF(E8,"&lt;&gt;0")+COUNTIF(E11,"&lt;&gt;0")+COUNTIF(E14,"&lt;&gt;0")+COUNTIF(E17,"&lt;&gt;0")+COUNTIF(E20,"&lt;&gt;0")+COUNTIF(E23,"&lt;&gt;0")</f>
        <v>0</v>
      </c>
      <c r="C29" s="144" t="s">
        <v>41</v>
      </c>
      <c r="D29" s="132" t="s">
        <v>43</v>
      </c>
      <c r="E29" s="99">
        <f>IF(B29&gt;=5,IF(E26=0/24,0/24,IF(E26&lt;35/24,35/24,E26)),E26)</f>
        <v>0</v>
      </c>
      <c r="F29" s="101"/>
      <c r="G29" s="104"/>
      <c r="H29" s="105"/>
    </row>
    <row r="30" spans="1:8" ht="17.25" customHeight="1">
      <c r="A30" s="78">
        <f>IF(A12 = "", Fin, IF(A12&gt;DATE(YEAR(A12),3,20),IF(A12&lt;DATE(YEAR(A12),12,21),7 / 24,6 / 24),6 /24))</f>
        <v>0.29166666666666669</v>
      </c>
      <c r="B30" s="101"/>
      <c r="C30" s="120"/>
      <c r="D30" s="121" t="s">
        <v>36</v>
      </c>
      <c r="E30" s="133">
        <f>IF(E26&gt;35 / 24,35 / 24,E26)</f>
        <v>0</v>
      </c>
      <c r="F30" s="100"/>
      <c r="G30" s="173" t="s">
        <v>35</v>
      </c>
      <c r="H30" s="174"/>
    </row>
    <row r="31" spans="1:8" s="3" customFormat="1" ht="17.25" customHeight="1">
      <c r="A31" s="148">
        <f>IF(A15 = "", Fin, IF(A15&gt;DATE(YEAR(A15),3,20),IF(A15&lt;DATE(YEAR(A15),12,21),7 / 24,6 / 24),6 /24))</f>
        <v>0.29166666666666669</v>
      </c>
      <c r="B31" s="100"/>
      <c r="C31" s="122" t="s">
        <v>37</v>
      </c>
      <c r="D31" s="123" t="s">
        <v>38</v>
      </c>
      <c r="E31" s="134">
        <f>IF(E26&gt;35 / 24,IF(E26&lt;43 / 24,E26-35 / 24,8 / 24),0 / 24)</f>
        <v>0</v>
      </c>
      <c r="F31" s="100"/>
      <c r="G31" s="171" t="s">
        <v>12</v>
      </c>
      <c r="H31" s="172"/>
    </row>
    <row r="32" spans="1:8" s="3" customFormat="1" ht="17.25" customHeight="1" thickBot="1">
      <c r="A32" s="148">
        <f>IF(A18 = "", Fin, IF(A18&gt;DATE(YEAR(A18),3,20),IF(A18&lt;DATE(YEAR(A18),12,21),7 / 24,6 / 24),6 /24))</f>
        <v>0.29166666666666669</v>
      </c>
      <c r="B32" s="100"/>
      <c r="C32" s="124" t="s">
        <v>42</v>
      </c>
      <c r="D32" s="125" t="s">
        <v>39</v>
      </c>
      <c r="E32" s="135">
        <f>IF(E26&gt;43 / 24,E26- 43 / 24,0 /24)</f>
        <v>0</v>
      </c>
      <c r="F32" s="100"/>
      <c r="G32" s="73"/>
      <c r="H32" s="103"/>
    </row>
    <row r="33" spans="1:8" s="3" customFormat="1" ht="17.25" customHeight="1">
      <c r="A33" s="148">
        <f>IF(A21 = "", Fin, IF(A21&gt;DATE(YEAR(A21),3,20),IF(A21&lt;DATE(YEAR(A21),12,21),7 / 24,6 / 24),6 /24))</f>
        <v>0.29166666666666669</v>
      </c>
      <c r="B33" s="150" t="s">
        <v>10</v>
      </c>
      <c r="C33" s="167"/>
      <c r="D33" s="168" t="s">
        <v>44</v>
      </c>
      <c r="E33" s="170">
        <f>F26</f>
        <v>0</v>
      </c>
      <c r="F33" s="100"/>
      <c r="G33" s="116"/>
      <c r="H33" s="115"/>
    </row>
    <row r="34" spans="1:8" s="3" customFormat="1" ht="17.25" customHeight="1">
      <c r="A34" s="149">
        <f>IF(A24 = "", Fin, IF(A24&gt;DATE(YEAR(A24),3,20),IF(A24&lt;DATE(YEAR(A24),12,21),7 / 24,6 / 24),6 /24))</f>
        <v>0.29166666666666669</v>
      </c>
      <c r="B34" s="151">
        <f>IF(D2&gt;DATE(YEAR(D2),3,20),IF(D2&lt;DATE(YEAR(D2),12,21),22/24,20/24),20/24)</f>
        <v>0.91666666666666663</v>
      </c>
      <c r="C34" s="128"/>
      <c r="D34" s="129" t="s">
        <v>45</v>
      </c>
      <c r="E34" s="137">
        <f>G26</f>
        <v>0</v>
      </c>
      <c r="F34" s="100"/>
      <c r="G34" s="116"/>
      <c r="H34" s="115"/>
    </row>
    <row r="35" spans="1:8" s="3" customFormat="1" ht="17.25" customHeight="1">
      <c r="A35" s="117"/>
      <c r="B35" s="152" t="s">
        <v>11</v>
      </c>
      <c r="C35" s="130"/>
      <c r="D35" s="127" t="s">
        <v>40</v>
      </c>
      <c r="E35" s="136">
        <f>H26</f>
        <v>0</v>
      </c>
      <c r="F35" s="118"/>
      <c r="G35" s="118"/>
      <c r="H35" s="119"/>
    </row>
    <row r="36" spans="1:8" s="3" customFormat="1" ht="17.25" customHeight="1" thickBot="1">
      <c r="A36" s="117"/>
      <c r="B36" s="153">
        <f>IF(D2&gt;DATE(YEAR(D2),3,20),IF(D2&lt;DATE(YEAR(D2),12,21),7 / 24,6 / 24),6 /24)</f>
        <v>0.29166666666666669</v>
      </c>
      <c r="C36" s="128"/>
      <c r="D36" s="129" t="str">
        <f>IF(E36&lt;=1, "JOURNEE CONTINUE", "JOURNEES CONTINUES")</f>
        <v>JOURNEE CONTINUE</v>
      </c>
      <c r="E36" s="154">
        <f>COUNTIF(E6, "&lt;&gt;0")+COUNTIF(E9, "&lt;&gt;0")+COUNTIF(E12, "&lt;&gt;0")+COUNTIF(E15, "&lt;&gt;0")+COUNTIF(E18, "&lt;&gt;0")+COUNTIF(E21, "&lt;&gt;0")+COUNTIF(E24, "&lt;&gt;0")</f>
        <v>0</v>
      </c>
      <c r="F36" s="118"/>
      <c r="G36" s="118"/>
      <c r="H36" s="119"/>
    </row>
    <row r="37" spans="1:8" s="3" customFormat="1" ht="17.25" customHeight="1">
      <c r="A37" s="117"/>
      <c r="C37" s="126"/>
      <c r="D37" s="127" t="s">
        <v>47</v>
      </c>
      <c r="E37" s="136">
        <v>0</v>
      </c>
      <c r="F37" s="118"/>
      <c r="G37" s="118"/>
      <c r="H37" s="119"/>
    </row>
    <row r="38" spans="1:8" s="3" customFormat="1" ht="17.25" customHeight="1" thickBot="1">
      <c r="A38" s="117"/>
      <c r="B38" s="143"/>
      <c r="C38" s="131"/>
      <c r="D38" s="145" t="s">
        <v>46</v>
      </c>
      <c r="E38" s="146">
        <f>IF(B7&lt;&gt;"",E5,IF(B10&lt;&gt;"",E8,IF(B13&lt;&gt;"",E11,IF(B16&lt;&gt;"",E14,IF(B19&lt;&gt;"",E17,IF(B22&lt;&gt;"",E20, IF(B25&lt;&gt;"",E23, 0)))))))</f>
        <v>0</v>
      </c>
      <c r="F38" s="118"/>
      <c r="G38" s="118"/>
      <c r="H38" s="119"/>
    </row>
    <row r="39" spans="1:8" ht="17.25" customHeight="1">
      <c r="A39" s="117"/>
      <c r="B39" s="118"/>
      <c r="C39" s="116"/>
      <c r="D39" s="116"/>
      <c r="E39" s="116"/>
      <c r="F39" s="118"/>
      <c r="G39" s="118"/>
      <c r="H39" s="119"/>
    </row>
    <row r="40" spans="1:8">
      <c r="A40" s="138"/>
      <c r="B40" s="116"/>
      <c r="C40" s="116"/>
      <c r="D40" s="116"/>
      <c r="E40" s="116"/>
      <c r="F40" s="116"/>
      <c r="G40" s="116"/>
      <c r="H40" s="139"/>
    </row>
    <row r="41" spans="1:8">
      <c r="A41" s="140"/>
      <c r="B41" s="141"/>
      <c r="C41" s="141"/>
      <c r="D41" s="141"/>
      <c r="E41" s="141"/>
      <c r="F41" s="141"/>
      <c r="G41" s="141"/>
      <c r="H41" s="142"/>
    </row>
  </sheetData>
  <sheetProtection sheet="1" selectLockedCells="1"/>
  <mergeCells count="2">
    <mergeCell ref="G30:H30"/>
    <mergeCell ref="G31:H31"/>
  </mergeCells>
  <printOptions horizontalCentered="1"/>
  <pageMargins left="0" right="0" top="0.15748031496062992" bottom="0.15748031496062992" header="0.11811023622047244" footer="0.11811023622047244"/>
  <pageSetup paperSize="9" scale="78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139E-F142-8449-94E2-54C98438B09A}">
  <sheetPr codeName="Feuil4">
    <tabColor theme="5"/>
    <pageSetUpPr fitToPage="1"/>
  </sheetPr>
  <dimension ref="A1:H46"/>
  <sheetViews>
    <sheetView zoomScale="75" zoomScaleNormal="75" workbookViewId="0">
      <selection activeCell="F2" sqref="F2"/>
    </sheetView>
  </sheetViews>
  <sheetFormatPr baseColWidth="10" defaultColWidth="10.625" defaultRowHeight="11.4"/>
  <cols>
    <col min="1" max="8" width="24.625" style="1" customWidth="1"/>
    <col min="9" max="186" width="10.625" style="2" customWidth="1"/>
    <col min="187" max="16384" width="10.625" style="2"/>
  </cols>
  <sheetData>
    <row r="1" spans="1:8" ht="30" customHeight="1">
      <c r="A1" s="17" t="s">
        <v>0</v>
      </c>
      <c r="B1" s="28" t="str">
        <f>'1er Ass OPV'!B1</f>
        <v>"Production"</v>
      </c>
      <c r="C1" s="66"/>
      <c r="D1" s="41" t="str">
        <f>'1er Ass OPV'!D1</f>
        <v>Semaine N°</v>
      </c>
      <c r="E1" s="18" t="s">
        <v>1</v>
      </c>
      <c r="F1" s="28" t="str">
        <f>'1er Ass OPV'!F1</f>
        <v>Caméra</v>
      </c>
      <c r="G1" s="64"/>
      <c r="H1" s="13"/>
    </row>
    <row r="2" spans="1:8" ht="19.95" customHeight="1">
      <c r="A2" s="19" t="s">
        <v>14</v>
      </c>
      <c r="B2" s="29" t="str">
        <f>'1er Ass OPV'!B2</f>
        <v>"Film"</v>
      </c>
      <c r="C2" s="38" t="s">
        <v>27</v>
      </c>
      <c r="D2" s="40">
        <f>'1er Ass OPV'!D2</f>
        <v>43984</v>
      </c>
      <c r="E2" s="38" t="s">
        <v>3</v>
      </c>
      <c r="F2" s="29" t="s">
        <v>24</v>
      </c>
      <c r="G2" s="63"/>
      <c r="H2" s="39"/>
    </row>
    <row r="3" spans="1:8" ht="19.95" customHeight="1" thickBot="1">
      <c r="A3" s="19"/>
      <c r="B3" s="63"/>
      <c r="C3" s="38" t="s">
        <v>28</v>
      </c>
      <c r="D3" s="162">
        <f>D2+DAY(5)</f>
        <v>43990</v>
      </c>
      <c r="E3" s="20"/>
      <c r="F3" s="62"/>
      <c r="G3" s="62"/>
      <c r="H3" s="14"/>
    </row>
    <row r="4" spans="1:8" s="3" customFormat="1" ht="46.5" customHeight="1">
      <c r="A4" s="7" t="s">
        <v>4</v>
      </c>
      <c r="B4" s="8" t="s">
        <v>15</v>
      </c>
      <c r="C4" s="8" t="s">
        <v>31</v>
      </c>
      <c r="D4" s="10" t="s">
        <v>5</v>
      </c>
      <c r="E4" s="8" t="s">
        <v>6</v>
      </c>
      <c r="F4" s="9" t="s">
        <v>7</v>
      </c>
      <c r="G4" s="10" t="s">
        <v>29</v>
      </c>
      <c r="H4" s="11" t="s">
        <v>8</v>
      </c>
    </row>
    <row r="5" spans="1:8" ht="17.25" customHeight="1">
      <c r="A5" s="12" t="str">
        <f>CHOOSE(WEEKDAY(A6,2),"LUNDI","MARDI","MERCREDI","JEUDI","VENDREDI","SAMEDI","DIMANCHE")</f>
        <v>LUNDI</v>
      </c>
      <c r="B5" s="21" t="str">
        <f>IF(OR(C5&lt;&gt;0, C6 &lt;&gt;0,), IF(MOD(C6-C5, 1) &lt; 0.041, "(pause réduite)", ""), "")</f>
        <v/>
      </c>
      <c r="C5" s="65">
        <f>'1er Ass OPV'!C5</f>
        <v>0</v>
      </c>
      <c r="D5" s="43">
        <f>'1er Ass OPV'!D5</f>
        <v>0</v>
      </c>
      <c r="E5" s="21">
        <f>IF(D5= " ",0/24,((MOD(D6-D5,1))-MOD(C6-C5,1)))</f>
        <v>0</v>
      </c>
      <c r="F5" s="2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21">
        <v>0</v>
      </c>
      <c r="H5" s="32">
        <f>'1er Ass OPV'!H5</f>
        <v>0</v>
      </c>
    </row>
    <row r="6" spans="1:8" ht="17.25" customHeight="1">
      <c r="A6" s="42">
        <f>D2</f>
        <v>43984</v>
      </c>
      <c r="B6" s="48" t="str">
        <f>IF(E6=0 / 24, "","(journée continue)")</f>
        <v/>
      </c>
      <c r="C6" s="65">
        <f>'1er Ass OPV'!C6</f>
        <v>0</v>
      </c>
      <c r="D6" s="43">
        <f>'1er Ass OPV'!D6</f>
        <v>0</v>
      </c>
      <c r="E6" s="22">
        <f>SUM(D7,E7)</f>
        <v>0</v>
      </c>
      <c r="F6" s="2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4"/>
      <c r="H6" s="163"/>
    </row>
    <row r="7" spans="1:8" ht="17.25" customHeight="1">
      <c r="A7" s="47">
        <f>IF(A6="", Deb, IF(A6&gt;DATE(YEAR(A6),3,20),IF(A6&lt;DATE(YEAR(A6),12,21),22 / 24,20 / 24),20 /24))</f>
        <v>0.91666666666666663</v>
      </c>
      <c r="B7" s="46" t="str">
        <f>IF(A6 &lt;&gt; "", IF(A5="DIMANCHE", "(majoration dimanche)", ""), "")</f>
        <v/>
      </c>
      <c r="C7" s="50">
        <f>IF(C6 = C5, (MOD(D6-D5,1)),0)</f>
        <v>0</v>
      </c>
      <c r="D7" s="44">
        <f>IF(C5=0 / 24,0,IF((MOD(C5-D5,1))&lt;6 / 24,0,0.5 / 24))</f>
        <v>0</v>
      </c>
      <c r="E7" s="16">
        <f>IF(C7&gt;=(6 / 24),0.5 / 24,(IF(C5 = C6, IF(MOD(D6-D5, 1) &lt;6/24, 0, 0.5/24), IF((MOD(D6-C6,1))&lt;6/24,0,0.5/24))))</f>
        <v>0</v>
      </c>
      <c r="F7" s="6" t="str">
        <f>IF(OR(F6=" ", F6=0)," ","(minoration repas nuit)")</f>
        <v xml:space="preserve"> </v>
      </c>
      <c r="G7" s="67"/>
      <c r="H7" s="15">
        <f>IF((E5)&lt;12/24,0/24,(E5)-12/24)</f>
        <v>0</v>
      </c>
    </row>
    <row r="8" spans="1:8" ht="17.25" customHeight="1">
      <c r="A8" s="12" t="str">
        <f>CHOOSE(WEEKDAY(A6+1,2),"LUNDI","MARDI","MERCREDI","JEUDI","VENDREDI","SAMEDI","DIMANCHE")</f>
        <v>MARDI</v>
      </c>
      <c r="B8" s="51" t="str">
        <f>IF(OR(C8&lt;&gt;0, C9 &lt;&gt;0,), IF(MOD(C9-C8, 1) &lt; 0.041, "(pause réduite)", ""), "")</f>
        <v/>
      </c>
      <c r="C8" s="65">
        <f>'1er Ass OPV'!C8</f>
        <v>0</v>
      </c>
      <c r="D8" s="43">
        <f>'1er Ass OPV'!D8</f>
        <v>0</v>
      </c>
      <c r="E8" s="21">
        <f>IF(D8= " ",0/24,((MOD(D9-D8,1))-MOD(C9-C8,1)))</f>
        <v>0</v>
      </c>
      <c r="F8" s="2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21">
        <f>IF(AND(D5=0, D6=0), 0/24, (IF(D8=0/24,0/24,IF((MOD(D8-D6,1))&gt;=11/24,0/24,11/24-(MOD(D8-D6,1))))))</f>
        <v>0</v>
      </c>
      <c r="H8" s="32">
        <f>'1er Ass OPV'!H8</f>
        <v>0</v>
      </c>
    </row>
    <row r="9" spans="1:8" ht="17.25" customHeight="1">
      <c r="A9" s="42">
        <f>IF(AND(DATE(YEAR(D2),MONTH(D2),DAY(D2))&lt;DATE(YEAR(D3),MONTH(D3),DAY(D3)), A6&lt;&gt;""),DATE(YEAR(D2),MONTH(D2),DAY(D2)+1),"")</f>
        <v>43985</v>
      </c>
      <c r="B9" s="5" t="str">
        <f>IF(E9=0 / 24, "","(journée continue)")</f>
        <v/>
      </c>
      <c r="C9" s="65">
        <f>'1er Ass OPV'!C9</f>
        <v>0</v>
      </c>
      <c r="D9" s="43">
        <f>'1er Ass OPV'!D9</f>
        <v>0</v>
      </c>
      <c r="E9" s="22">
        <f>SUM(D10,E10)</f>
        <v>0</v>
      </c>
      <c r="F9" s="2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4"/>
      <c r="H9" s="164"/>
    </row>
    <row r="10" spans="1:8" ht="17.25" customHeight="1">
      <c r="A10" s="47">
        <f>IF(A9="", Deb, IF(A9&gt;DATE(YEAR(A9),3,20),IF(A9&lt;DATE(YEAR(A9),12,21),22 / 24,20 / 24),20 /24))</f>
        <v>0.91666666666666663</v>
      </c>
      <c r="B10" s="46" t="str">
        <f>IF(A9 &lt;&gt; "", IF(A8="DIMANCHE", "(majoration dimanche)", ""), "")</f>
        <v/>
      </c>
      <c r="C10" s="50">
        <f>IF(C9 = C8, (MOD(D9-D8,1)),0)</f>
        <v>0</v>
      </c>
      <c r="D10" s="44">
        <f>IF(C8=0 / 24,0,IF((MOD(C8-D8,1))&lt;6 / 24,0,0.5 / 24))</f>
        <v>0</v>
      </c>
      <c r="E10" s="50">
        <f>IF(C10&gt;=(6 / 24),0.5 / 24,(IF(C8 = C9, IF(MOD(D9-D8, 1) &lt;6 /24, 0, 0.5/24), IF((MOD(D9-C9,1))&lt;6/24,0,0.5/24))))</f>
        <v>0</v>
      </c>
      <c r="F10" s="6" t="str">
        <f>IF(F9=" "," ","(minoration repas nuit)")</f>
        <v xml:space="preserve"> </v>
      </c>
      <c r="G10" s="67"/>
      <c r="H10" s="15">
        <f>IF((E8)&lt;12/24,0/24,(E8)-12/24)</f>
        <v>0</v>
      </c>
    </row>
    <row r="11" spans="1:8" ht="17.25" customHeight="1">
      <c r="A11" s="12" t="str">
        <f>CHOOSE(WEEKDAY(A6+2,2),"LUNDI","MARDI","MERCREDI","JEUDI","VENDREDI","SAMEDI","DIMANCHE")</f>
        <v>MERCREDI</v>
      </c>
      <c r="B11" s="51" t="str">
        <f>IF(OR(C11&lt;&gt;0, C12 &lt;&gt;0,), IF(MOD(C12-C11, 1) &lt; 0.041, "(pause réduite)", ""), "")</f>
        <v/>
      </c>
      <c r="C11" s="65">
        <f>'1er Ass OPV'!C11</f>
        <v>0</v>
      </c>
      <c r="D11" s="43">
        <f>'1er Ass OPV'!D11</f>
        <v>0</v>
      </c>
      <c r="E11" s="21">
        <f>IF(D11= " ",0/24,((MOD(D12-D11,1))-MOD(C12-C11,1)))</f>
        <v>0</v>
      </c>
      <c r="F11" s="2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21">
        <f>IF(AND(D8=0, D9=0), 0/24, (IF(D11=0/24,0/24,IF((MOD(D11-D9,1))&gt;=11/24,0/24,11/24-(MOD(D11-D9,1))))))</f>
        <v>0</v>
      </c>
      <c r="H11" s="32">
        <f>'1er Ass OPV'!H11</f>
        <v>0</v>
      </c>
    </row>
    <row r="12" spans="1:8" ht="17.25" customHeight="1">
      <c r="A12" s="42">
        <f>IF(AND(DATE(YEAR(A9),MONTH(A9),DAY(A9))&lt;DATE(YEAR(D3),MONTH(D3),DAY(D3)), A9&lt;&gt;""),DATE(YEAR(D2),MONTH(D2),DAY(D2)+2), "")</f>
        <v>43986</v>
      </c>
      <c r="B12" s="5" t="str">
        <f>IF(E12=0 / 24, "","(journée continue)")</f>
        <v/>
      </c>
      <c r="C12" s="65">
        <f>'1er Ass OPV'!C12</f>
        <v>0</v>
      </c>
      <c r="D12" s="45">
        <f>'1er Ass OPV'!D12</f>
        <v>0</v>
      </c>
      <c r="E12" s="22">
        <f>SUM(D13,E13)</f>
        <v>0</v>
      </c>
      <c r="F12" s="2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4"/>
      <c r="H12" s="165"/>
    </row>
    <row r="13" spans="1:8" ht="17.25" customHeight="1">
      <c r="A13" s="47">
        <f>IF(A12="", Deb, IF(A12&gt;DATE(YEAR(A12),3,20),IF(A12&lt;DATE(YEAR(A12),12,21),22 / 24,20 / 24),20 /24))</f>
        <v>0.91666666666666663</v>
      </c>
      <c r="B13" s="6" t="str">
        <f>IF(A12 &lt;&gt; "", IF(A11="DIMANCHE", "(majoration dimanche)", ""), "")</f>
        <v/>
      </c>
      <c r="C13" s="50">
        <f>IF(C12 = C11, (MOD(D12-D11,1)),0)</f>
        <v>0</v>
      </c>
      <c r="D13" s="44">
        <f>IF(C11=0 / 24,0,IF((MOD(C11-D11,1))&lt;6 / 24,0,0.5 / 24))</f>
        <v>0</v>
      </c>
      <c r="E13" s="16">
        <f>IF(C13&gt;=(6 / 24),0.5 / 24,(IF(C11 = C12, IF(MOD(D12-D11, 1) &lt;6/24, 0, 0.5/24), IF((MOD(D12-C12,1))&lt;6/24,0,0.5/24))))</f>
        <v>0</v>
      </c>
      <c r="F13" s="6" t="str">
        <f>IF(F12=" "," ","(minoration repas nuit)")</f>
        <v xml:space="preserve"> </v>
      </c>
      <c r="G13" s="68"/>
      <c r="H13" s="15">
        <f>IF((E11)&lt;12/24,0/24,(E11)-12/24)</f>
        <v>0</v>
      </c>
    </row>
    <row r="14" spans="1:8" ht="17.25" customHeight="1">
      <c r="A14" s="12" t="str">
        <f>CHOOSE(WEEKDAY(A6+3,2),"LUNDI","MARDI","MERCREDI","JEUDI","VENDREDI","SAMEDI","DIMANCHE")</f>
        <v>JEUDI</v>
      </c>
      <c r="B14" s="51" t="str">
        <f>IF(OR(C14&lt;&gt;0, C15 &lt;&gt;0,), IF(MOD(C15-C14, 1) &lt; 0.041, "(pause réduite)", ""), "")</f>
        <v/>
      </c>
      <c r="C14" s="65">
        <f>'1er Ass OPV'!C14</f>
        <v>0</v>
      </c>
      <c r="D14" s="43">
        <f>'1er Ass OPV'!D14</f>
        <v>0</v>
      </c>
      <c r="E14" s="21">
        <f>IF(D14= " ",0/24,((MOD(D15-D14,1))-MOD(C15-C14,1)))</f>
        <v>0</v>
      </c>
      <c r="F14" s="2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21">
        <f>IF(AND(D11=0, D12=0), 0/24, (IF(D14=0/24,0/24,IF((MOD(D14-D12,1))&gt;= 11/24, 0/24, (11/24- (MOD(D14-D12,1)))))))</f>
        <v>0</v>
      </c>
      <c r="H14" s="32">
        <f>'1er Ass OPV'!H14</f>
        <v>0</v>
      </c>
    </row>
    <row r="15" spans="1:8" ht="17.25" customHeight="1">
      <c r="A15" s="42">
        <f>IF(A12&lt;&gt; "", (IF(DATE(YEAR(A12),MONTH(A12),DAY(A12))&lt;DATE(YEAR(D3),MONTH(D3),DAY(D3)),DATE(YEAR(D2),MONTH(D2),(DAY(D2)+3)), "")), "")</f>
        <v>43987</v>
      </c>
      <c r="B15" s="5" t="str">
        <f>IF(E15=0 / 24, "","(journée continue)")</f>
        <v/>
      </c>
      <c r="C15" s="65">
        <f>'1er Ass OPV'!C15</f>
        <v>0</v>
      </c>
      <c r="D15" s="43">
        <f>'1er Ass OPV'!D15</f>
        <v>0</v>
      </c>
      <c r="E15" s="22">
        <f>SUM(D16,E16)</f>
        <v>0</v>
      </c>
      <c r="F15" s="2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4"/>
      <c r="H15" s="164"/>
    </row>
    <row r="16" spans="1:8" ht="17.25" customHeight="1">
      <c r="A16" s="47">
        <f>IF(A15="", Deb, IF(A15&gt;DATE(YEAR(A15),3,20),IF(A15&lt;DATE(YEAR(A15),12,21),22 / 24,20 / 24),20 /24))</f>
        <v>0.91666666666666663</v>
      </c>
      <c r="B16" s="6" t="str">
        <f>IF(A15 &lt;&gt; "", IF(A14="DIMANCHE", "(majoration dimanche)", ""), "")</f>
        <v/>
      </c>
      <c r="C16" s="50">
        <f>IF(C14 = C15, (MOD(D15-D14,1)),0)</f>
        <v>0</v>
      </c>
      <c r="D16" s="44">
        <f>IF(C14=0 / 24,0,IF((MOD(C14-D14,1))&lt;6 / 24,0,0.5 / 24))</f>
        <v>0</v>
      </c>
      <c r="E16" s="16">
        <f>IF(C16&gt;=(6 / 24),0.5 / 24,(IF(C15 = C14, IF(MOD(D15-D14, 1) &lt;6/24, 0, 0.5/24), IF((MOD(D15-C15,1))&lt;6/24,0,0.5/24))))</f>
        <v>0</v>
      </c>
      <c r="F16" s="6" t="str">
        <f>IF(F15=" "," ","(minoration repas nuit)")</f>
        <v xml:space="preserve"> </v>
      </c>
      <c r="G16" s="16"/>
      <c r="H16" s="15">
        <f>IF((E14)&lt;12/24,0/24,(E14)-12/24)</f>
        <v>0</v>
      </c>
    </row>
    <row r="17" spans="1:8" ht="17.25" customHeight="1">
      <c r="A17" s="12" t="str">
        <f>CHOOSE(WEEKDAY(A6+4,2),"LUNDI","MARDI","MERCREDI","JEUDI","VENDREDI","SAMEDI","DIMANCHE")</f>
        <v>VENDREDI</v>
      </c>
      <c r="B17" s="51" t="str">
        <f>IF(OR(C17&lt;&gt;0, C18 &lt;&gt;0,), IF(MOD(C18-C17, 1) &lt; 0.041, "(pause réduite)", ""), "")</f>
        <v/>
      </c>
      <c r="C17" s="65">
        <f>'1er Ass OPV'!C17</f>
        <v>0</v>
      </c>
      <c r="D17" s="43">
        <f>'1er Ass OPV'!D17</f>
        <v>0</v>
      </c>
      <c r="E17" s="21">
        <f>IF(D17=" ",0/24,((MOD(D18-D17,1))-MOD(C18-C17,1)))</f>
        <v>0</v>
      </c>
      <c r="F17" s="2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21">
        <f>IF(AND(D14=0, D15=0), 0/24,(IF(D17=0/24,0/24,IF((MOD(D17-D15,1))&gt;=11/24,0/24,11/24-(MOD(D17-D15,1))))))</f>
        <v>0</v>
      </c>
      <c r="H17" s="32">
        <f>'1er Ass OPV'!H17</f>
        <v>0</v>
      </c>
    </row>
    <row r="18" spans="1:8" ht="17.25" customHeight="1">
      <c r="A18" s="42">
        <f>IF(A15&lt;&gt; "", (IF(DATE(YEAR(A15),MONTH(A15),DAY(A15))&lt;DATE(YEAR(D3),MONTH(D3),DAY(D3)),DATE(YEAR(D2),MONTH(D2),(DAY(D2)+4)), "")), "")</f>
        <v>43988</v>
      </c>
      <c r="B18" s="5" t="str">
        <f>IF(E18=0 / 24, "","(journée continue)")</f>
        <v/>
      </c>
      <c r="C18" s="65">
        <f>'1er Ass OPV'!C18</f>
        <v>0</v>
      </c>
      <c r="D18" s="43">
        <f>'1er Ass OPV'!D18</f>
        <v>0</v>
      </c>
      <c r="E18" s="22">
        <f>SUM(D19,E19)</f>
        <v>0</v>
      </c>
      <c r="F18" s="2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4"/>
      <c r="H18" s="164"/>
    </row>
    <row r="19" spans="1:8" ht="17.25" customHeight="1">
      <c r="A19" s="47">
        <f>IF(A18="", Deb, IF(A18&gt;DATE(YEAR(A18),3,20),IF(A18&lt;DATE(YEAR(A18),12,21),22 / 24,20 / 24),20 /24))</f>
        <v>0.91666666666666663</v>
      </c>
      <c r="B19" s="6" t="str">
        <f>IF(A18 &lt;&gt; "", IF(A17="DIMANCHE", "(majoration dimanche)", ""), "")</f>
        <v/>
      </c>
      <c r="C19" s="50">
        <f>IF(C17 = C18, (MOD(D18-D17,1)),0)</f>
        <v>0</v>
      </c>
      <c r="D19" s="44">
        <f>IF(C17=0 / 24,0,IF((MOD(C17-D17,1))&lt;6 / 24,0,0.5 / 24))</f>
        <v>0</v>
      </c>
      <c r="E19" s="16">
        <f>IF(C19&gt;=(6 / 24),0.5 / 24,(IF(C17 = C18, IF(MOD(D18-D17, 1) &lt;6/24, 0, 0.5/24), IF((MOD(D18-C18,1))&lt;6/24,0,0.5/24))))</f>
        <v>0</v>
      </c>
      <c r="F19" s="6" t="str">
        <f>IF(F18=" "," ","(minoration repas nuit)")</f>
        <v xml:space="preserve"> </v>
      </c>
      <c r="G19" s="49"/>
      <c r="H19" s="15">
        <f>IF((E17)&lt;12/24,0/24,(E17)-12/24)</f>
        <v>0</v>
      </c>
    </row>
    <row r="20" spans="1:8" ht="17.25" customHeight="1">
      <c r="A20" s="12" t="str">
        <f>CHOOSE(WEEKDAY(A6+5,2),"LUNDI","MARDI","MERCREDI","JEUDI","VENDREDI","SAMEDI","DIMANCHE")</f>
        <v>SAMEDI</v>
      </c>
      <c r="B20" s="51" t="str">
        <f>IF(OR(C21&lt;&gt;0, C22 &lt;&gt;0,), IF(MOD(C21-C20, 1) &lt; 0.041, "(pause réduite)", ""), "")</f>
        <v/>
      </c>
      <c r="C20" s="65">
        <f>'1er Ass OPV'!C20</f>
        <v>0</v>
      </c>
      <c r="D20" s="43">
        <f>'1er Ass OPV'!D20</f>
        <v>0</v>
      </c>
      <c r="E20" s="21">
        <f>IF(D20= " ",0/24,((MOD(D21-D20,1))-MOD(C21-C20,1)))</f>
        <v>0</v>
      </c>
      <c r="F20" s="2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21">
        <f>IF(AND(D17=0, D18=0),0/24, (IF(D20=0/24,0/24,IF((MOD(D20-D18,1))&gt;=11/24,0/24, 11/24-(MOD(D20-D18,1))))))</f>
        <v>0</v>
      </c>
      <c r="H20" s="32">
        <f>'1er Ass OPV'!H20</f>
        <v>0</v>
      </c>
    </row>
    <row r="21" spans="1:8" ht="17.25" customHeight="1">
      <c r="A21" s="42">
        <f>IF(A18&lt;&gt; "", (IF(DATE(YEAR(A18),MONTH(A18),DAY(A18))&lt;DATE(YEAR(D3),MONTH(D3),DAY(D3)),DATE(YEAR(D2),MONTH(D2),(DAY(D2)+5)), "")), "")</f>
        <v>43989</v>
      </c>
      <c r="B21" s="5" t="str">
        <f>IF(E21=0 / 24, "","(journée continue)")</f>
        <v/>
      </c>
      <c r="C21" s="65">
        <f>'1er Ass OPV'!C21</f>
        <v>0</v>
      </c>
      <c r="D21" s="43">
        <f>'1er Ass OPV'!D21</f>
        <v>0</v>
      </c>
      <c r="E21" s="22">
        <f>SUM(D22,E22)</f>
        <v>0</v>
      </c>
      <c r="F21" s="2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4"/>
      <c r="H21" s="166"/>
    </row>
    <row r="22" spans="1:8" ht="17.25" customHeight="1">
      <c r="A22" s="47">
        <f>IF(A21="", Deb, IF(A21&gt;DATE(YEAR(A21),3,20),IF(A21&lt;DATE(YEAR(A21),12,21),22 / 24,20 / 24),20 /24))</f>
        <v>0.91666666666666663</v>
      </c>
      <c r="B22" s="6" t="str">
        <f>IF(A21&lt;&gt;"",IF(A20="DIMANCHE","(majoration dimanche)",""), "")</f>
        <v/>
      </c>
      <c r="C22" s="50">
        <f>IF(C20 = C21, (MOD(D21-D20,1)),0)</f>
        <v>0</v>
      </c>
      <c r="D22" s="44">
        <f>IF(C20=0 / 24,0,IF((MOD(C20-D20,1))&lt;6 / 24,0,0.5 / 24))</f>
        <v>0</v>
      </c>
      <c r="E22" s="16">
        <f>IF(C22&gt;=(6 / 24),0.5 / 24,(IF(C21 = C20, IF(MOD(D21-D20, 1) &lt;6/24, 0, 0.5/24), IF((MOD(D21-C21,1))&lt;6/24,0,0.5/24))))</f>
        <v>0</v>
      </c>
      <c r="F22" s="6" t="str">
        <f>IF(F21=" "," ","(minoration repas nuit)")</f>
        <v xml:space="preserve"> </v>
      </c>
      <c r="G22" s="16"/>
      <c r="H22" s="15">
        <f>IF((E20)&lt;12/24,0/24,(E20)-12/24)</f>
        <v>0</v>
      </c>
    </row>
    <row r="23" spans="1:8" ht="17.25" customHeight="1">
      <c r="A23" s="12" t="str">
        <f>CHOOSE(WEEKDAY(A9+5,2),"LUNDI","MARDI","MERCREDI","JEUDI","VENDREDI","SAMEDI","DIMANCHE")</f>
        <v>DIMANCHE</v>
      </c>
      <c r="B23" s="51" t="str">
        <f>IF(OR(C24&lt;&gt;0, C25 &lt;&gt;0,), IF(MOD(C24-C23, 1) &lt; 0.041, "(pause réduite)", ""), "")</f>
        <v/>
      </c>
      <c r="C23" s="65">
        <f>'1er Ass OPV'!C23</f>
        <v>0</v>
      </c>
      <c r="D23" s="43">
        <f>'1er Ass OPV'!D23</f>
        <v>0</v>
      </c>
      <c r="E23" s="21">
        <f>IF(D23= " ",0/24,((MOD(D24-D23,1))-MOD(C24-C23,1)))</f>
        <v>0</v>
      </c>
      <c r="F23" s="2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21">
        <f>IF(AND(D20=0, D21=0),0/24, (IF(D23=0/24,0/24,IF((MOD(D23-D21,1))&gt;=11/24,0/24, 11/24-(MOD(D23-D21,1))))))</f>
        <v>0</v>
      </c>
      <c r="H23" s="32">
        <f>'1er Ass OPV'!H23</f>
        <v>0</v>
      </c>
    </row>
    <row r="24" spans="1:8" s="3" customFormat="1" ht="16.8" customHeight="1">
      <c r="A24" s="42">
        <f>IF(A21&lt;&gt; "", (IF(DATE(YEAR(A21),MONTH(A21),DAY(A21))&lt;DATE(YEAR(D3),MONTH(D3),DAY(D3)),DATE(YEAR(D2),MONTH(D2),(DAY(D2)+6)), "")), "")</f>
        <v>43990</v>
      </c>
      <c r="B24" s="5" t="str">
        <f>IF(E24=0 / 24, "","(journée continue)")</f>
        <v/>
      </c>
      <c r="C24" s="65">
        <f>'1er Ass OPV'!C24</f>
        <v>0</v>
      </c>
      <c r="D24" s="43">
        <f>'1er Ass OPV'!D24</f>
        <v>0</v>
      </c>
      <c r="E24" s="22">
        <f>SUM(D25,E25)</f>
        <v>0</v>
      </c>
      <c r="F24" s="2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4"/>
      <c r="H24" s="166"/>
    </row>
    <row r="25" spans="1:8" ht="17.25" customHeight="1">
      <c r="A25" s="47">
        <f>IF(A24="", Deb, IF(A24&gt;DATE(YEAR(A24),3,20),IF(A24&lt;DATE(YEAR(A24),12,21),22 / 24,20 / 24),20 /24))</f>
        <v>0.91666666666666663</v>
      </c>
      <c r="B25" s="6" t="str">
        <f>IF(A24&lt;&gt;"",IF(A23="DIMANCHE",IF(E23 &gt; 0/24, "(majoration dimanche)", ""),""),"")</f>
        <v/>
      </c>
      <c r="C25" s="50">
        <f>IF(C23 = C24, (MOD(D24-D23,1)),0)</f>
        <v>0</v>
      </c>
      <c r="D25" s="44">
        <f>IF(C23=0 / 24,0,IF((MOD(C23-D23,1))&lt;6 / 24,0,0.5 / 24))</f>
        <v>0</v>
      </c>
      <c r="E25" s="16">
        <f>IF(C25&gt;=(6 / 24),0.5 / 24,(IF(C24 = C23, IF(MOD(D24-D23, 1) &lt;6/24, 0, 0.5/24), IF((MOD(D24-C24,1))&lt;6/24,0,0.5/24))))</f>
        <v>0</v>
      </c>
      <c r="F25" s="6" t="str">
        <f>IF(F24=" "," ","(minoration repas nuit)")</f>
        <v xml:space="preserve"> </v>
      </c>
      <c r="G25" s="16">
        <f>SUM(H25+H22+H19+H16+H13+H10+H7)</f>
        <v>0</v>
      </c>
      <c r="H25" s="15">
        <f>IF((E23)&lt;12/24,0/24,(E23)-12/24)</f>
        <v>0</v>
      </c>
    </row>
    <row r="26" spans="1:8" ht="17.25" customHeight="1" thickBot="1">
      <c r="A26" s="108"/>
      <c r="B26" s="109"/>
      <c r="C26" s="110"/>
      <c r="D26" s="111" t="s">
        <v>9</v>
      </c>
      <c r="E26" s="112">
        <f>SUM(E5,E8,E11,E14,E17,E20,E23)</f>
        <v>0</v>
      </c>
      <c r="F26" s="112">
        <f>SUM(F5,F6,F8,F9,F11,F12,F14,F15,F17,F18,F20,F21,F23,F24)</f>
        <v>0</v>
      </c>
      <c r="G26" s="113">
        <f>SUM(G5,G8,G11,G14,G17,G20,G23)</f>
        <v>0</v>
      </c>
      <c r="H26" s="114">
        <f>SUM(H23,H24,H21,H20,H18,H17,H15,H14,H12,H11,H9,H8,H6,H5,)</f>
        <v>0</v>
      </c>
    </row>
    <row r="27" spans="1:8" ht="13.8" customHeight="1">
      <c r="A27" s="69"/>
      <c r="B27" s="70"/>
      <c r="C27" s="70"/>
      <c r="D27" s="70"/>
      <c r="E27" s="71"/>
      <c r="F27" s="71"/>
      <c r="G27" s="71"/>
      <c r="H27" s="72"/>
    </row>
    <row r="28" spans="1:8" s="3" customFormat="1" ht="13.8" customHeight="1" thickBot="1">
      <c r="A28" s="78">
        <f>IF(A6 = "", Fin, IF(A6&gt;DATE(YEAR(A6),3,20),IF(A6&lt;DATE(YEAR(A6),12,21),7 / 24,6 / 24),6 /24))</f>
        <v>0.29166666666666669</v>
      </c>
      <c r="B28" s="106">
        <f>IF(A6 = "", Fin, IF(A6&gt;DATE(YEAR(A6),3,20),IF(A6&lt;DATE(YEAR(A6),12,21),7 / 24,6 / 24),6 /24))</f>
        <v>0.29166666666666669</v>
      </c>
      <c r="C28" s="116"/>
      <c r="D28" s="116"/>
      <c r="E28" s="116"/>
      <c r="F28" s="106">
        <f>IF(A18 = "", Fin, IF(A18&gt;DATE(YEAR(A18),3,20),IF(A18&lt;DATE(YEAR(A18),12,21),7 / 24,6 / 24),6 /24))</f>
        <v>0.29166666666666669</v>
      </c>
      <c r="G28" s="107">
        <f>IF(A21 = "", Fin, IF(A21&gt;DATE(YEAR(A21),3,20),IF(A21&lt;DATE(YEAR(A21),12,21),7 / 24,6 / 24),6 /24))</f>
        <v>0.29166666666666669</v>
      </c>
      <c r="H28" s="102"/>
    </row>
    <row r="29" spans="1:8" s="3" customFormat="1" ht="17.25" customHeight="1" thickBot="1">
      <c r="A29" s="78">
        <f>IF(A9= "", Fin, IF(A9&gt;DATE(YEAR(A9),3,20),IF(A9&lt;DATE(YEAR(A9),12,21),7 / 24,6 / 24),6 /24))</f>
        <v>0.29166666666666669</v>
      </c>
      <c r="B29" s="147">
        <f>COUNTIF(E5,"&lt;&gt;0" )+COUNTIF(E8,"&lt;&gt;0")+COUNTIF(E11,"&lt;&gt;0")+COUNTIF(E14,"&lt;&gt;0")+COUNTIF(E17,"&lt;&gt;0")+COUNTIF(E20,"&lt;&gt;0")+COUNTIF(E23,"&lt;&gt;0")</f>
        <v>0</v>
      </c>
      <c r="C29" s="144" t="s">
        <v>41</v>
      </c>
      <c r="D29" s="132" t="s">
        <v>43</v>
      </c>
      <c r="E29" s="99">
        <f>IF(B29&gt;=5,IF(E26=0/24,0/24,IF(E26&lt;35/24,35/24,E26)),E26)</f>
        <v>0</v>
      </c>
      <c r="F29" s="101"/>
      <c r="G29" s="104"/>
      <c r="H29" s="105"/>
    </row>
    <row r="30" spans="1:8" s="3" customFormat="1" ht="17.25" customHeight="1">
      <c r="A30" s="78">
        <f>IF(A12 = "", Fin, IF(A12&gt;DATE(YEAR(A12),3,20),IF(A12&lt;DATE(YEAR(A12),12,21),7 / 24,6 / 24),6 /24))</f>
        <v>0.29166666666666669</v>
      </c>
      <c r="B30" s="101"/>
      <c r="C30" s="120"/>
      <c r="D30" s="121" t="s">
        <v>36</v>
      </c>
      <c r="E30" s="133">
        <f>IF(E26&gt;35 / 24,35 / 24,E26)</f>
        <v>0</v>
      </c>
      <c r="F30" s="100"/>
      <c r="G30" s="173" t="s">
        <v>35</v>
      </c>
      <c r="H30" s="174"/>
    </row>
    <row r="31" spans="1:8" s="3" customFormat="1" ht="17.25" customHeight="1">
      <c r="A31" s="148">
        <f>IF(A15 = "", Fin, IF(A15&gt;DATE(YEAR(A15),3,20),IF(A15&lt;DATE(YEAR(A15),12,21),7 / 24,6 / 24),6 /24))</f>
        <v>0.29166666666666669</v>
      </c>
      <c r="B31" s="100"/>
      <c r="C31" s="122" t="s">
        <v>37</v>
      </c>
      <c r="D31" s="123" t="s">
        <v>38</v>
      </c>
      <c r="E31" s="134">
        <f>IF(E26&gt;35 / 24,IF(E26&lt;43 / 24,E26-35 / 24,8 / 24),0 / 24)</f>
        <v>0</v>
      </c>
      <c r="F31" s="100"/>
      <c r="G31" s="171" t="s">
        <v>12</v>
      </c>
      <c r="H31" s="172"/>
    </row>
    <row r="32" spans="1:8" s="3" customFormat="1" ht="17.25" customHeight="1" thickBot="1">
      <c r="A32" s="148">
        <f>IF(A18 = "", Fin, IF(A18&gt;DATE(YEAR(A18),3,20),IF(A18&lt;DATE(YEAR(A18),12,21),7 / 24,6 / 24),6 /24))</f>
        <v>0.29166666666666669</v>
      </c>
      <c r="B32" s="100"/>
      <c r="C32" s="124" t="s">
        <v>42</v>
      </c>
      <c r="D32" s="125" t="s">
        <v>39</v>
      </c>
      <c r="E32" s="135">
        <f>IF(E26&gt;43 / 24,E26- 43 / 24,0 /24)</f>
        <v>0</v>
      </c>
      <c r="F32" s="100"/>
      <c r="G32" s="73"/>
      <c r="H32" s="103"/>
    </row>
    <row r="33" spans="1:8" s="3" customFormat="1" ht="17.25" customHeight="1">
      <c r="A33" s="148">
        <f>IF(A21 = "", Fin, IF(A21&gt;DATE(YEAR(A21),3,20),IF(A21&lt;DATE(YEAR(A21),12,21),7 / 24,6 / 24),6 /24))</f>
        <v>0.29166666666666669</v>
      </c>
      <c r="B33" s="150" t="s">
        <v>10</v>
      </c>
      <c r="C33" s="167"/>
      <c r="D33" s="168" t="s">
        <v>44</v>
      </c>
      <c r="E33" s="170">
        <f>F26</f>
        <v>0</v>
      </c>
      <c r="F33" s="100"/>
      <c r="G33" s="116"/>
      <c r="H33" s="115"/>
    </row>
    <row r="34" spans="1:8" s="3" customFormat="1" ht="17.25" customHeight="1">
      <c r="A34" s="149">
        <f>IF(A24 = "", Fin, IF(A24&gt;DATE(YEAR(A24),3,20),IF(A24&lt;DATE(YEAR(A24),12,21),7 / 24,6 / 24),6 /24))</f>
        <v>0.29166666666666669</v>
      </c>
      <c r="B34" s="151">
        <f>IF(D2&gt;DATE(YEAR(D2),3,20),IF(D2&lt;DATE(YEAR(D2),12,21),22/24,20/24),20/24)</f>
        <v>0.91666666666666663</v>
      </c>
      <c r="C34" s="128"/>
      <c r="D34" s="129" t="s">
        <v>45</v>
      </c>
      <c r="E34" s="137">
        <f>G26</f>
        <v>0</v>
      </c>
      <c r="F34" s="100"/>
      <c r="G34" s="116"/>
      <c r="H34" s="115"/>
    </row>
    <row r="35" spans="1:8" s="3" customFormat="1" ht="17.25" customHeight="1">
      <c r="A35" s="117"/>
      <c r="B35" s="152" t="s">
        <v>11</v>
      </c>
      <c r="C35" s="130"/>
      <c r="D35" s="127" t="s">
        <v>40</v>
      </c>
      <c r="E35" s="136">
        <f>H26</f>
        <v>0</v>
      </c>
      <c r="F35" s="118"/>
      <c r="G35" s="118"/>
      <c r="H35" s="119"/>
    </row>
    <row r="36" spans="1:8" s="3" customFormat="1" ht="17.25" customHeight="1" thickBot="1">
      <c r="A36" s="117"/>
      <c r="B36" s="153">
        <f>IF(D2&gt;DATE(YEAR(D2),3,20),IF(D2&lt;DATE(YEAR(D2),12,21),7 / 24,6 / 24),6 /24)</f>
        <v>0.29166666666666669</v>
      </c>
      <c r="C36" s="128"/>
      <c r="D36" s="129" t="str">
        <f>IF(E36&lt;=1, "JOURNEE CONTINUE", "JOURNEES CONTINUES")</f>
        <v>JOURNEE CONTINUE</v>
      </c>
      <c r="E36" s="154">
        <f>COUNTIF(E6, "&lt;&gt;0")+COUNTIF(E9, "&lt;&gt;0")+COUNTIF(E12, "&lt;&gt;0")+COUNTIF(E15, "&lt;&gt;0")+COUNTIF(E18, "&lt;&gt;0")+COUNTIF(E21, "&lt;&gt;0")+COUNTIF(E24, "&lt;&gt;0")</f>
        <v>0</v>
      </c>
      <c r="F36" s="118"/>
      <c r="G36" s="118"/>
      <c r="H36" s="119"/>
    </row>
    <row r="37" spans="1:8" ht="17.25" customHeight="1">
      <c r="A37" s="117"/>
      <c r="B37" s="3"/>
      <c r="C37" s="126"/>
      <c r="D37" s="127" t="s">
        <v>47</v>
      </c>
      <c r="E37" s="136">
        <v>0</v>
      </c>
      <c r="F37" s="118"/>
      <c r="G37" s="118"/>
      <c r="H37" s="119"/>
    </row>
    <row r="38" spans="1:8" ht="16.2" thickBot="1">
      <c r="A38" s="117"/>
      <c r="B38" s="143"/>
      <c r="C38" s="131"/>
      <c r="D38" s="145" t="s">
        <v>46</v>
      </c>
      <c r="E38" s="146">
        <f>IF(B7&lt;&gt;"",E5,IF(B10&lt;&gt;"",E8,IF(B13&lt;&gt;"",E11,IF(B16&lt;&gt;"",E14,IF(B19&lt;&gt;"",E17,IF(B22&lt;&gt;"",E20, IF(B25&lt;&gt;"",E23, 0)))))))</f>
        <v>0</v>
      </c>
      <c r="F38" s="118"/>
      <c r="G38" s="118"/>
      <c r="H38" s="119"/>
    </row>
    <row r="39" spans="1:8">
      <c r="A39" s="117"/>
      <c r="B39" s="118"/>
      <c r="C39" s="116"/>
      <c r="D39" s="116"/>
      <c r="E39" s="116"/>
      <c r="F39" s="118"/>
      <c r="G39" s="118"/>
      <c r="H39" s="119"/>
    </row>
    <row r="40" spans="1:8">
      <c r="A40" s="138"/>
      <c r="B40" s="116"/>
      <c r="C40" s="116"/>
      <c r="D40" s="116"/>
      <c r="E40" s="116"/>
      <c r="F40" s="116"/>
      <c r="G40" s="116"/>
      <c r="H40" s="139"/>
    </row>
    <row r="41" spans="1:8">
      <c r="A41" s="140"/>
      <c r="B41" s="141"/>
      <c r="C41" s="141"/>
      <c r="D41" s="141"/>
      <c r="E41" s="141"/>
      <c r="F41" s="141"/>
      <c r="G41" s="141"/>
      <c r="H41" s="14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</sheetData>
  <sheetProtection sheet="1" selectLockedCells="1"/>
  <mergeCells count="2">
    <mergeCell ref="G30:H30"/>
    <mergeCell ref="G31:H31"/>
  </mergeCells>
  <printOptions horizontalCentered="1"/>
  <pageMargins left="0" right="0" top="0.15748031496062992" bottom="0.15748031496062992" header="0.11811023622047244" footer="0.11811023622047244"/>
  <pageSetup paperSize="9" scale="7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 OPV</vt:lpstr>
      <vt:lpstr>2nd Ass OPV</vt:lpstr>
      <vt:lpstr>Ass OPV Adj</vt:lpstr>
      <vt:lpstr>'1er Ass OPV'!Deb</vt:lpstr>
      <vt:lpstr>'2nd Ass OPV'!Deb</vt:lpstr>
      <vt:lpstr>'Ass OPV Adj'!Deb</vt:lpstr>
      <vt:lpstr>'1er Ass OPV'!Fin</vt:lpstr>
      <vt:lpstr>'2nd Ass OPV'!Fin</vt:lpstr>
      <vt:lpstr>'Ass OPV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Ugo Villion</cp:lastModifiedBy>
  <cp:revision/>
  <cp:lastPrinted>2022-02-19T19:17:32Z</cp:lastPrinted>
  <dcterms:created xsi:type="dcterms:W3CDTF">2002-09-15T20:21:11Z</dcterms:created>
  <dcterms:modified xsi:type="dcterms:W3CDTF">2024-06-16T18:14:38Z</dcterms:modified>
  <cp:category/>
  <cp:contentStatus/>
</cp:coreProperties>
</file>