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50911500-1E87-D449-9AE0-233A48248844}" xr6:coauthVersionLast="36" xr6:coauthVersionMax="47" xr10:uidLastSave="{00000000-0000-0000-0000-000000000000}"/>
  <bookViews>
    <workbookView xWindow="5860" yWindow="2860" windowWidth="36740" windowHeight="16560" xr2:uid="{00000000-000D-0000-FFFF-FFFF00000000}"/>
  </bookViews>
  <sheets>
    <sheet name="Notice" sheetId="9" r:id="rId1"/>
    <sheet name="1er Ass OPV" sheetId="12" r:id="rId2"/>
    <sheet name="2nd Ass OPV" sheetId="15" r:id="rId3"/>
    <sheet name="Ass OPV Adj" sheetId="16" r:id="rId4"/>
  </sheets>
  <definedNames>
    <definedName name="Deb" localSheetId="1">'1er Ass OPV'!$B$37</definedName>
    <definedName name="Deb" localSheetId="2">'2nd Ass OPV'!$B$37</definedName>
    <definedName name="Deb" localSheetId="3">'Ass OPV Adj'!$B$37</definedName>
    <definedName name="Deb">#REF!</definedName>
    <definedName name="Fin" localSheetId="1">'1er Ass OPV'!$B$39</definedName>
    <definedName name="Fin" localSheetId="2">'2nd Ass OPV'!$B$39</definedName>
    <definedName name="Fin" localSheetId="3">'Ass OPV Adj'!$B$39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C6" i="16" l="1"/>
  <c r="C6" i="15"/>
  <c r="C6" i="12"/>
  <c r="D24" i="16" l="1"/>
  <c r="H23" i="16"/>
  <c r="H26" i="16" s="1"/>
  <c r="D23" i="16"/>
  <c r="C23" i="16"/>
  <c r="D25" i="16" s="1"/>
  <c r="D21" i="16"/>
  <c r="H20" i="16"/>
  <c r="D20" i="16"/>
  <c r="C21" i="16" s="1"/>
  <c r="C20" i="16"/>
  <c r="D22" i="16" s="1"/>
  <c r="D18" i="16"/>
  <c r="H17" i="16"/>
  <c r="D17" i="16"/>
  <c r="G20" i="16" s="1"/>
  <c r="C17" i="16"/>
  <c r="A17" i="16"/>
  <c r="D15" i="16"/>
  <c r="H14" i="16"/>
  <c r="D14" i="16"/>
  <c r="C14" i="16"/>
  <c r="D16" i="16" s="1"/>
  <c r="D12" i="16"/>
  <c r="H11" i="16"/>
  <c r="D11" i="16"/>
  <c r="C11" i="16"/>
  <c r="D13" i="16" s="1"/>
  <c r="D9" i="16"/>
  <c r="H8" i="16"/>
  <c r="D8" i="16"/>
  <c r="C8" i="16"/>
  <c r="D10" i="16" s="1"/>
  <c r="D6" i="16"/>
  <c r="A6" i="16"/>
  <c r="A14" i="16" s="1"/>
  <c r="H5" i="16"/>
  <c r="D5" i="16"/>
  <c r="C5" i="16"/>
  <c r="B5" i="16" s="1"/>
  <c r="F39" i="16"/>
  <c r="C24" i="15"/>
  <c r="E23" i="15" s="1"/>
  <c r="C21" i="15"/>
  <c r="C12" i="12"/>
  <c r="E11" i="12" s="1"/>
  <c r="D25" i="15"/>
  <c r="D22" i="15"/>
  <c r="E20" i="15"/>
  <c r="B22" i="15"/>
  <c r="B19" i="15"/>
  <c r="B16" i="15"/>
  <c r="B13" i="15"/>
  <c r="B10" i="15"/>
  <c r="B7" i="15"/>
  <c r="F39" i="15"/>
  <c r="E38" i="15"/>
  <c r="F38" i="15" s="1"/>
  <c r="B24" i="12"/>
  <c r="E24" i="12"/>
  <c r="B21" i="12"/>
  <c r="E21" i="12"/>
  <c r="D25" i="12"/>
  <c r="E25" i="12"/>
  <c r="E22" i="12"/>
  <c r="D22" i="12"/>
  <c r="D19" i="12"/>
  <c r="D16" i="12"/>
  <c r="D10" i="12"/>
  <c r="D7" i="12"/>
  <c r="D13" i="12"/>
  <c r="C24" i="12"/>
  <c r="C21" i="12"/>
  <c r="C18" i="12"/>
  <c r="C15" i="12"/>
  <c r="C9" i="12"/>
  <c r="D19" i="16" l="1"/>
  <c r="G17" i="16"/>
  <c r="C9" i="16"/>
  <c r="C10" i="16" s="1"/>
  <c r="E10" i="16" s="1"/>
  <c r="E9" i="16" s="1"/>
  <c r="B9" i="16" s="1"/>
  <c r="G8" i="16"/>
  <c r="C22" i="16"/>
  <c r="E22" i="16" s="1"/>
  <c r="E21" i="16" s="1"/>
  <c r="C24" i="16"/>
  <c r="A8" i="16"/>
  <c r="E8" i="16"/>
  <c r="H10" i="16" s="1"/>
  <c r="G14" i="16"/>
  <c r="C15" i="16"/>
  <c r="A20" i="16"/>
  <c r="E20" i="16"/>
  <c r="H22" i="16" s="1"/>
  <c r="A5" i="16"/>
  <c r="E5" i="16"/>
  <c r="A7" i="16"/>
  <c r="B8" i="16"/>
  <c r="A11" i="16"/>
  <c r="C18" i="16"/>
  <c r="F21" i="16"/>
  <c r="F22" i="16" s="1"/>
  <c r="E23" i="16"/>
  <c r="H25" i="16" s="1"/>
  <c r="C25" i="16"/>
  <c r="E25" i="16" s="1"/>
  <c r="E24" i="16" s="1"/>
  <c r="B24" i="16" s="1"/>
  <c r="C7" i="16"/>
  <c r="E7" i="16" s="1"/>
  <c r="G11" i="16"/>
  <c r="C12" i="16"/>
  <c r="C13" i="16" s="1"/>
  <c r="E13" i="16" s="1"/>
  <c r="E12" i="16" s="1"/>
  <c r="B12" i="16" s="1"/>
  <c r="G23" i="16"/>
  <c r="D7" i="16"/>
  <c r="A9" i="16"/>
  <c r="B7" i="16"/>
  <c r="F24" i="16"/>
  <c r="F25" i="16" s="1"/>
  <c r="C13" i="12"/>
  <c r="E13" i="12" s="1"/>
  <c r="E12" i="12" s="1"/>
  <c r="G26" i="16" l="1"/>
  <c r="E6" i="16"/>
  <c r="B6" i="16" s="1"/>
  <c r="B11" i="16"/>
  <c r="B21" i="16"/>
  <c r="H7" i="16"/>
  <c r="E14" i="16"/>
  <c r="H16" i="16" s="1"/>
  <c r="B14" i="16"/>
  <c r="C16" i="16"/>
  <c r="E16" i="16" s="1"/>
  <c r="E15" i="16" s="1"/>
  <c r="B15" i="16" s="1"/>
  <c r="C19" i="16"/>
  <c r="E19" i="16" s="1"/>
  <c r="E18" i="16" s="1"/>
  <c r="B18" i="16" s="1"/>
  <c r="E17" i="16"/>
  <c r="H19" i="16" s="1"/>
  <c r="B17" i="16"/>
  <c r="B23" i="16"/>
  <c r="E11" i="16"/>
  <c r="H13" i="16" s="1"/>
  <c r="A10" i="16"/>
  <c r="B10" i="16"/>
  <c r="A23" i="16"/>
  <c r="A12" i="16"/>
  <c r="B20" i="16"/>
  <c r="B12" i="12"/>
  <c r="G25" i="16" l="1"/>
  <c r="E26" i="16"/>
  <c r="A15" i="16"/>
  <c r="A13" i="16"/>
  <c r="B13" i="16"/>
  <c r="E41" i="16"/>
  <c r="D41" i="16" s="1"/>
  <c r="A18" i="16" l="1"/>
  <c r="B16" i="16"/>
  <c r="A16" i="16"/>
  <c r="B19" i="16" l="1"/>
  <c r="A21" i="16"/>
  <c r="A19" i="16"/>
  <c r="A22" i="16" l="1"/>
  <c r="F20" i="16" s="1"/>
  <c r="A24" i="16"/>
  <c r="B22" i="16"/>
  <c r="A25" i="16" l="1"/>
  <c r="F23" i="16" s="1"/>
  <c r="B25" i="16"/>
  <c r="E40" i="16" s="1"/>
  <c r="F40" i="16" s="1"/>
  <c r="F1" i="16" l="1"/>
  <c r="F1" i="15"/>
  <c r="G8" i="12"/>
  <c r="F24" i="12"/>
  <c r="G23" i="12"/>
  <c r="G20" i="12"/>
  <c r="G17" i="12"/>
  <c r="G14" i="12"/>
  <c r="G11" i="12"/>
  <c r="D2" i="12"/>
  <c r="H23" i="15" l="1"/>
  <c r="H20" i="15"/>
  <c r="H17" i="15"/>
  <c r="H14" i="15"/>
  <c r="H11" i="15"/>
  <c r="H8" i="15"/>
  <c r="H5" i="15"/>
  <c r="D5" i="15"/>
  <c r="D3" i="12"/>
  <c r="C7" i="12" l="1"/>
  <c r="E7" i="12" s="1"/>
  <c r="E6" i="12" s="1"/>
  <c r="E41" i="12" s="1"/>
  <c r="B6" i="12" l="1"/>
  <c r="C10" i="12"/>
  <c r="E10" i="12" s="1"/>
  <c r="E9" i="12" s="1"/>
  <c r="B9" i="12" s="1"/>
  <c r="C16" i="12"/>
  <c r="E16" i="12" s="1"/>
  <c r="E15" i="12" s="1"/>
  <c r="B15" i="12" s="1"/>
  <c r="B39" i="12" l="1"/>
  <c r="B37" i="12" l="1"/>
  <c r="D1" i="15"/>
  <c r="D1" i="16"/>
  <c r="B2" i="15"/>
  <c r="B1" i="15"/>
  <c r="B2" i="16"/>
  <c r="B1" i="16"/>
  <c r="D2" i="16"/>
  <c r="D3" i="16" s="1"/>
  <c r="D2" i="15"/>
  <c r="D3" i="15" s="1"/>
  <c r="D24" i="15"/>
  <c r="D23" i="15"/>
  <c r="C23" i="15"/>
  <c r="D21" i="15"/>
  <c r="D20" i="15"/>
  <c r="C20" i="15"/>
  <c r="D18" i="15"/>
  <c r="D17" i="15"/>
  <c r="C17" i="15"/>
  <c r="D15" i="15"/>
  <c r="D14" i="15"/>
  <c r="C14" i="15"/>
  <c r="D12" i="15"/>
  <c r="D11" i="15"/>
  <c r="C11" i="15"/>
  <c r="D9" i="15"/>
  <c r="D8" i="15"/>
  <c r="C8" i="15"/>
  <c r="D6" i="15"/>
  <c r="E5" i="15" s="1"/>
  <c r="C5" i="15"/>
  <c r="F30" i="16"/>
  <c r="E38" i="16"/>
  <c r="F30" i="15"/>
  <c r="H26" i="15"/>
  <c r="H26" i="12"/>
  <c r="E38" i="12" s="1"/>
  <c r="E8" i="12"/>
  <c r="C25" i="12"/>
  <c r="B23" i="12" s="1"/>
  <c r="F25" i="12"/>
  <c r="E23" i="12"/>
  <c r="H25" i="12" s="1"/>
  <c r="C18" i="15" l="1"/>
  <c r="D19" i="15"/>
  <c r="C15" i="15"/>
  <c r="B14" i="15" s="1"/>
  <c r="D16" i="15"/>
  <c r="E14" i="15"/>
  <c r="H16" i="15" s="1"/>
  <c r="D13" i="15"/>
  <c r="C9" i="15"/>
  <c r="B8" i="15" s="1"/>
  <c r="E8" i="15"/>
  <c r="H10" i="15" s="1"/>
  <c r="D10" i="15"/>
  <c r="B5" i="15"/>
  <c r="D7" i="15"/>
  <c r="C12" i="15"/>
  <c r="C13" i="15" s="1"/>
  <c r="E13" i="15" s="1"/>
  <c r="E12" i="15" s="1"/>
  <c r="B12" i="15" s="1"/>
  <c r="F21" i="15"/>
  <c r="F22" i="15" s="1"/>
  <c r="F38" i="16"/>
  <c r="F24" i="15"/>
  <c r="G11" i="15"/>
  <c r="B37" i="15"/>
  <c r="C10" i="15"/>
  <c r="E10" i="15" s="1"/>
  <c r="C16" i="15"/>
  <c r="E16" i="15" s="1"/>
  <c r="E15" i="15" s="1"/>
  <c r="B15" i="15" s="1"/>
  <c r="B37" i="16"/>
  <c r="G23" i="15"/>
  <c r="H22" i="15"/>
  <c r="C22" i="15"/>
  <c r="G14" i="15"/>
  <c r="G17" i="15"/>
  <c r="H7" i="15"/>
  <c r="G8" i="15"/>
  <c r="C25" i="15"/>
  <c r="C7" i="15"/>
  <c r="E7" i="15" s="1"/>
  <c r="E6" i="15" s="1"/>
  <c r="H25" i="15"/>
  <c r="G20" i="15"/>
  <c r="C19" i="15"/>
  <c r="E19" i="15" s="1"/>
  <c r="E18" i="15" s="1"/>
  <c r="B18" i="15" s="1"/>
  <c r="A28" i="16"/>
  <c r="B39" i="16"/>
  <c r="A6" i="15"/>
  <c r="B39" i="15"/>
  <c r="E17" i="15" l="1"/>
  <c r="H19" i="15" s="1"/>
  <c r="B17" i="15"/>
  <c r="E11" i="15"/>
  <c r="H13" i="15" s="1"/>
  <c r="B11" i="15"/>
  <c r="E9" i="15"/>
  <c r="B9" i="15" s="1"/>
  <c r="F5" i="16"/>
  <c r="F6" i="16"/>
  <c r="F7" i="16" s="1"/>
  <c r="E25" i="15"/>
  <c r="E24" i="15" s="1"/>
  <c r="B24" i="15" s="1"/>
  <c r="B23" i="15"/>
  <c r="B20" i="15"/>
  <c r="E22" i="15"/>
  <c r="E21" i="15" s="1"/>
  <c r="B21" i="15" s="1"/>
  <c r="B6" i="15"/>
  <c r="E37" i="16"/>
  <c r="F37" i="16" s="1"/>
  <c r="E32" i="16"/>
  <c r="F32" i="16" s="1"/>
  <c r="G26" i="15"/>
  <c r="E37" i="15" s="1"/>
  <c r="F37" i="15" s="1"/>
  <c r="E35" i="16"/>
  <c r="F35" i="16" s="1"/>
  <c r="B42" i="16"/>
  <c r="B42" i="15"/>
  <c r="A9" i="15"/>
  <c r="A12" i="15" s="1"/>
  <c r="G25" i="15"/>
  <c r="E35" i="15" s="1"/>
  <c r="F35" i="15" s="1"/>
  <c r="A29" i="16"/>
  <c r="A17" i="15"/>
  <c r="A8" i="15"/>
  <c r="A5" i="15"/>
  <c r="A14" i="15"/>
  <c r="A28" i="15"/>
  <c r="A7" i="15"/>
  <c r="A20" i="15"/>
  <c r="A11" i="15"/>
  <c r="F9" i="16" l="1"/>
  <c r="F10" i="16" s="1"/>
  <c r="F8" i="16"/>
  <c r="E26" i="15"/>
  <c r="E32" i="15" s="1"/>
  <c r="F32" i="15" s="1"/>
  <c r="E41" i="15"/>
  <c r="D41" i="15" s="1"/>
  <c r="E42" i="16"/>
  <c r="E33" i="16"/>
  <c r="F33" i="16" s="1"/>
  <c r="E34" i="16"/>
  <c r="F34" i="16" s="1"/>
  <c r="E31" i="16"/>
  <c r="F31" i="16" s="1"/>
  <c r="A29" i="15"/>
  <c r="A23" i="15"/>
  <c r="A10" i="15"/>
  <c r="F5" i="15"/>
  <c r="F6" i="15"/>
  <c r="F7" i="15" s="1"/>
  <c r="A30" i="16"/>
  <c r="A30" i="15"/>
  <c r="A15" i="15"/>
  <c r="A13" i="15"/>
  <c r="E31" i="15" l="1"/>
  <c r="F31" i="15" s="1"/>
  <c r="E34" i="15"/>
  <c r="F34" i="15" s="1"/>
  <c r="E33" i="15"/>
  <c r="F33" i="15" s="1"/>
  <c r="E42" i="15"/>
  <c r="F11" i="16"/>
  <c r="F12" i="16"/>
  <c r="F13" i="16" s="1"/>
  <c r="F12" i="15"/>
  <c r="F13" i="15" s="1"/>
  <c r="F8" i="15"/>
  <c r="F9" i="15"/>
  <c r="F10" i="15" s="1"/>
  <c r="F11" i="15"/>
  <c r="A31" i="16"/>
  <c r="A31" i="15"/>
  <c r="A18" i="15"/>
  <c r="A16" i="15"/>
  <c r="F15" i="15" s="1"/>
  <c r="F16" i="15" s="1"/>
  <c r="F14" i="16" l="1"/>
  <c r="F15" i="16"/>
  <c r="F16" i="16" s="1"/>
  <c r="F14" i="15"/>
  <c r="A32" i="16"/>
  <c r="A32" i="15"/>
  <c r="A21" i="15"/>
  <c r="A19" i="15"/>
  <c r="F21" i="12"/>
  <c r="F22" i="12" s="1"/>
  <c r="A6" i="12"/>
  <c r="F17" i="16" l="1"/>
  <c r="F18" i="16"/>
  <c r="F19" i="16" s="1"/>
  <c r="A33" i="16"/>
  <c r="F17" i="15"/>
  <c r="F18" i="15"/>
  <c r="F19" i="15" s="1"/>
  <c r="A34" i="16"/>
  <c r="A33" i="15"/>
  <c r="A24" i="15"/>
  <c r="A34" i="15" s="1"/>
  <c r="A22" i="15"/>
  <c r="F20" i="15" s="1"/>
  <c r="A14" i="12"/>
  <c r="A28" i="12"/>
  <c r="A5" i="12"/>
  <c r="A9" i="12"/>
  <c r="A8" i="12"/>
  <c r="A17" i="12"/>
  <c r="A11" i="12"/>
  <c r="A20" i="12"/>
  <c r="A7" i="12"/>
  <c r="F5" i="12" s="1"/>
  <c r="F26" i="16" l="1"/>
  <c r="A10" i="12"/>
  <c r="A29" i="12"/>
  <c r="B25" i="15"/>
  <c r="E40" i="15" s="1"/>
  <c r="F40" i="15" s="1"/>
  <c r="A25" i="15"/>
  <c r="F23" i="15" s="1"/>
  <c r="F8" i="12"/>
  <c r="A23" i="12"/>
  <c r="A12" i="12"/>
  <c r="A30" i="12" s="1"/>
  <c r="F9" i="12" l="1"/>
  <c r="F10" i="12" s="1"/>
  <c r="F25" i="15"/>
  <c r="A15" i="12"/>
  <c r="A31" i="12" s="1"/>
  <c r="A13" i="12"/>
  <c r="F11" i="12" l="1"/>
  <c r="F12" i="12"/>
  <c r="F13" i="12" s="1"/>
  <c r="F26" i="15"/>
  <c r="E36" i="16"/>
  <c r="F36" i="16" s="1"/>
  <c r="F42" i="16" s="1"/>
  <c r="G26" i="12"/>
  <c r="E37" i="12" s="1"/>
  <c r="A16" i="12"/>
  <c r="A18" i="12"/>
  <c r="A21" i="12" s="1"/>
  <c r="E36" i="15" l="1"/>
  <c r="F36" i="15" s="1"/>
  <c r="F42" i="15" s="1"/>
  <c r="F14" i="12"/>
  <c r="F15" i="12"/>
  <c r="F16" i="12" s="1"/>
  <c r="A24" i="12"/>
  <c r="A33" i="12"/>
  <c r="A32" i="12"/>
  <c r="B17" i="12"/>
  <c r="B14" i="12"/>
  <c r="B11" i="12"/>
  <c r="B8" i="12"/>
  <c r="B25" i="12" l="1"/>
  <c r="A34" i="12"/>
  <c r="B7" i="12"/>
  <c r="A25" i="12" l="1"/>
  <c r="F23" i="12" s="1"/>
  <c r="B10" i="12"/>
  <c r="B13" i="12" l="1"/>
  <c r="B16" i="12" l="1"/>
  <c r="B19" i="12" l="1"/>
  <c r="B22" i="12"/>
  <c r="E14" i="12" l="1"/>
  <c r="E20" i="12"/>
  <c r="E40" i="12" s="1"/>
  <c r="E17" i="12"/>
  <c r="H13" i="12"/>
  <c r="C22" i="12"/>
  <c r="C19" i="12"/>
  <c r="E19" i="12" s="1"/>
  <c r="E18" i="12" s="1"/>
  <c r="F30" i="12"/>
  <c r="B18" i="12" l="1"/>
  <c r="D41" i="12"/>
  <c r="F40" i="12"/>
  <c r="H19" i="12"/>
  <c r="H16" i="12"/>
  <c r="B20" i="12"/>
  <c r="H10" i="12"/>
  <c r="A19" i="12"/>
  <c r="A22" i="12"/>
  <c r="F20" i="12" s="1"/>
  <c r="F39" i="12"/>
  <c r="F37" i="12"/>
  <c r="H22" i="12"/>
  <c r="F38" i="12"/>
  <c r="F17" i="12" l="1"/>
  <c r="F18" i="12"/>
  <c r="F19" i="12" s="1"/>
  <c r="B5" i="12" l="1"/>
  <c r="F6" i="12"/>
  <c r="F26" i="12" s="1"/>
  <c r="E36" i="12" s="1"/>
  <c r="F36" i="12" s="1"/>
  <c r="E5" i="12"/>
  <c r="H7" i="12" l="1"/>
  <c r="G25" i="12" s="1"/>
  <c r="E35" i="12" s="1"/>
  <c r="F35" i="12" s="1"/>
  <c r="E26" i="12"/>
  <c r="E34" i="12" s="1"/>
  <c r="B42" i="12"/>
  <c r="E42" i="12" s="1"/>
  <c r="F7" i="12"/>
  <c r="E32" i="12" l="1"/>
  <c r="F32" i="12" s="1"/>
  <c r="E31" i="12"/>
  <c r="F31" i="12" s="1"/>
  <c r="E33" i="12"/>
  <c r="F33" i="12" s="1"/>
  <c r="F34" i="12"/>
  <c r="F42" i="12" l="1"/>
</calcChain>
</file>

<file path=xl/sharedStrings.xml><?xml version="1.0" encoding="utf-8"?>
<sst xmlns="http://schemas.openxmlformats.org/spreadsheetml/2006/main" count="146" uniqueCount="69">
  <si>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</si>
  <si>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</si>
  <si>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</si>
  <si>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</si>
  <si>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</si>
  <si>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</si>
  <si>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</si>
  <si>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</si>
  <si>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</si>
  <si>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</si>
  <si>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</si>
  <si>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1er Ass OPV sp</t>
  </si>
  <si>
    <t>Tarif Horaire</t>
  </si>
  <si>
    <t>HEURES SIMPLES</t>
  </si>
  <si>
    <t>de 35h à 43h (8h)</t>
  </si>
  <si>
    <t>HEURES SUP +25 %</t>
  </si>
  <si>
    <t>de 43h à 47h (4h)</t>
  </si>
  <si>
    <t>HEURES SUP +50 %</t>
  </si>
  <si>
    <t>MAJ AU-DELA DE 12H/JOUR</t>
  </si>
  <si>
    <t>Heures de nuit :</t>
  </si>
  <si>
    <t>MAJ HEURES NUIT 25%</t>
  </si>
  <si>
    <t>MAJ HEURES ANTICIPEES 50%</t>
  </si>
  <si>
    <t>à</t>
  </si>
  <si>
    <t>Tarifs SEMAINE</t>
  </si>
  <si>
    <t>MAJ JOUR FERIE</t>
  </si>
  <si>
    <t>Production Audiovisuelle</t>
  </si>
  <si>
    <t>SALAIRE SEMAINE :</t>
  </si>
  <si>
    <t>2e Ass OPV sp</t>
  </si>
  <si>
    <t>et au-delà de 47h</t>
  </si>
  <si>
    <t xml:space="preserve">Remplir la partie "infos" à titre indicatif: Semaine, Prod, Film etc... </t>
  </si>
  <si>
    <t>TV FILM/SERIE :</t>
  </si>
  <si>
    <t>Spécial</t>
  </si>
  <si>
    <t>MAJ DIMANCHE</t>
  </si>
  <si>
    <t>Ass OPV Adj</t>
  </si>
  <si>
    <t>découlent.</t>
  </si>
  <si>
    <t>La feuille va donc calculer le total des heures au-delà de 35h, ainsi que les majorations à 25% et 50% qui en</t>
  </si>
  <si>
    <t>Puis remplir les horaires de travail effectifs soit : arrivée sur le plateau et fermeture du camion en fin de journée.</t>
  </si>
  <si>
    <t>Il faut respecter le format  "hh:mm" par exemple 20:00 pour 20h00.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</si>
  <si>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</si>
  <si>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</si>
  <si>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</si>
  <si>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</si>
  <si>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</si>
  <si>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</si>
  <si>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</si>
  <si>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</si>
  <si>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</si>
  <si>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</si>
  <si>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</si>
  <si>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</si>
  <si>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</si>
  <si>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t>La feuille prend en compte la période des heures de nuit (été ou hiver) en se basant sur les dates de la</t>
  </si>
  <si>
    <t>Tarif semaine 35H</t>
  </si>
  <si>
    <t>Heure Coupure Repas                      Début / Fin</t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</si>
  <si>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</si>
  <si>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</si>
  <si>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(Semaine 35h mini)</t>
  </si>
  <si>
    <r>
      <t xml:space="preserve">Rentrer la date du début de la semaine de travail </t>
    </r>
    <r>
      <rPr>
        <b/>
        <sz val="11"/>
        <rFont val="Century Gothic"/>
        <family val="1"/>
      </rPr>
      <t>en respectant le Format "=DATE(aaaa;m;j)"</t>
    </r>
  </si>
  <si>
    <t>Par exemple : saisir =DATE(2024;6;3) pour une semaine allant du 03/06/2024 au 09/06/2024.</t>
  </si>
  <si>
    <t>La feuille générera elle-même la date de fin semaine et les jours correspondants.</t>
  </si>
  <si>
    <t>Chaque feuille correspond à un poste différent (1er assistant OPV, 2nd assistant OPV &amp; assistant OPV adjoint).</t>
  </si>
  <si>
    <t xml:space="preserve">Indiquer également les heures de début de repas, la feuille completera automatiquement l'heure de fin de repas, en ajoutant une heure. </t>
  </si>
  <si>
    <t xml:space="preserve">Si votre pause repas est réduite, vous pourrez modifier manuellement la cellule d'horaire de fin de repas en déverouillant la feuille. </t>
  </si>
  <si>
    <t>La feuille prend en compte les journées continues et les coupures réduites le cas écheant.</t>
  </si>
  <si>
    <r>
      <rPr>
        <b/>
        <sz val="11"/>
        <rFont val="Geneva"/>
        <family val="2"/>
      </rPr>
      <t>Attention : la feuille est verouillée, il ne faut remplir QUE les champs qui sont indiqués en italique</t>
    </r>
    <r>
      <rPr>
        <sz val="11"/>
        <rFont val="Geneva"/>
        <family val="2"/>
      </rPr>
      <t xml:space="preserve">, les autres sont </t>
    </r>
  </si>
  <si>
    <t>Si vous souhaitez modifier les cellules protégées, allez dans l'onglet "Révision" -&gt; "Ôtez la protection de la feuille".</t>
  </si>
  <si>
    <t>Il n'y a pas de mot de passe pour ôter la protection.</t>
  </si>
  <si>
    <t xml:space="preserve">Version 2.2 : Développement sous Excel 2019 </t>
  </si>
  <si>
    <t>Matrice d'heures USPA - AOA - Version 2.2 - MaJ du 27/10/2024 - Tarifs : avenant du 1er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</si>
</sst>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)\ _€_ ;_ * \(#,##0.00\)\ _€_ ;_ * &quot;-&quot;??_)\ _€_ ;_ @_ "/>
    <numFmt numFmtId="164" formatCode="[h]:mm"/>
    <numFmt numFmtId="165" formatCode="h:mm;@"/>
    <numFmt numFmtId="166" formatCode="#,##0.00\ &quot;€&quot;"/>
  </numFmts>
  <fonts count="50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i/>
      <sz val="11"/>
      <name val="Geneva"/>
      <family val="2"/>
    </font>
    <font>
      <sz val="11"/>
      <name val="Geneva"/>
      <family val="2"/>
    </font>
    <font>
      <b/>
      <sz val="11"/>
      <name val="Century Gothic"/>
      <family val="1"/>
    </font>
    <font>
      <sz val="11"/>
      <name val="Century Gothic"/>
      <family val="1"/>
    </font>
    <font>
      <i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  <font>
      <i/>
      <sz val="11"/>
      <name val="Geneva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Geneva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3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4" fillId="9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49" fontId="6" fillId="13" borderId="8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164" fontId="8" fillId="9" borderId="7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164" fontId="8" fillId="9" borderId="0" xfId="0" applyNumberFormat="1" applyFont="1" applyFill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11" fillId="4" borderId="16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4" xfId="0" applyNumberFormat="1" applyFont="1" applyFill="1" applyBorder="1" applyAlignment="1">
      <alignment horizontal="center" vertical="top" wrapText="1"/>
    </xf>
    <xf numFmtId="0" fontId="14" fillId="4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left" vertical="center"/>
    </xf>
    <xf numFmtId="0" fontId="21" fillId="9" borderId="8" xfId="0" applyFont="1" applyFill="1" applyBorder="1" applyAlignment="1">
      <alignment horizontal="left" vertical="center"/>
    </xf>
    <xf numFmtId="0" fontId="22" fillId="12" borderId="2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left" vertical="center"/>
    </xf>
    <xf numFmtId="0" fontId="23" fillId="7" borderId="22" xfId="0" applyFont="1" applyFill="1" applyBorder="1" applyAlignment="1">
      <alignment horizontal="left" vertical="center"/>
    </xf>
    <xf numFmtId="0" fontId="23" fillId="11" borderId="23" xfId="0" applyFont="1" applyFill="1" applyBorder="1" applyAlignment="1">
      <alignment horizontal="left" vertical="top"/>
    </xf>
    <xf numFmtId="165" fontId="24" fillId="0" borderId="25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vertical="center"/>
    </xf>
    <xf numFmtId="0" fontId="29" fillId="7" borderId="21" xfId="0" applyFont="1" applyFill="1" applyBorder="1" applyAlignment="1">
      <alignment horizontal="right" vertical="center"/>
    </xf>
    <xf numFmtId="0" fontId="29" fillId="7" borderId="12" xfId="0" applyFont="1" applyFill="1" applyBorder="1" applyAlignment="1">
      <alignment horizontal="right" vertical="center"/>
    </xf>
    <xf numFmtId="0" fontId="29" fillId="11" borderId="20" xfId="0" applyFont="1" applyFill="1" applyBorder="1" applyAlignment="1">
      <alignment horizontal="right" vertical="center"/>
    </xf>
    <xf numFmtId="0" fontId="29" fillId="11" borderId="10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0" fontId="0" fillId="4" borderId="22" xfId="0" applyFill="1" applyBorder="1"/>
    <xf numFmtId="0" fontId="0" fillId="4" borderId="23" xfId="0" applyFill="1" applyBorder="1"/>
    <xf numFmtId="0" fontId="30" fillId="9" borderId="23" xfId="0" applyFont="1" applyFill="1" applyBorder="1"/>
    <xf numFmtId="0" fontId="30" fillId="0" borderId="0" xfId="0" applyFont="1"/>
    <xf numFmtId="0" fontId="31" fillId="5" borderId="23" xfId="0" applyFont="1" applyFill="1" applyBorder="1"/>
    <xf numFmtId="0" fontId="23" fillId="7" borderId="12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2" fillId="0" borderId="0" xfId="0" applyFont="1"/>
    <xf numFmtId="0" fontId="32" fillId="12" borderId="23" xfId="0" applyFont="1" applyFill="1" applyBorder="1"/>
    <xf numFmtId="164" fontId="7" fillId="12" borderId="25" xfId="0" applyNumberFormat="1" applyFont="1" applyFill="1" applyBorder="1" applyAlignment="1" applyProtection="1">
      <alignment horizontal="center" vertical="center"/>
      <protection locked="0"/>
    </xf>
    <xf numFmtId="0" fontId="31" fillId="9" borderId="23" xfId="0" applyFont="1" applyFill="1" applyBorder="1"/>
    <xf numFmtId="0" fontId="30" fillId="11" borderId="23" xfId="0" applyFont="1" applyFill="1" applyBorder="1"/>
    <xf numFmtId="0" fontId="30" fillId="12" borderId="23" xfId="0" applyFont="1" applyFill="1" applyBorder="1"/>
    <xf numFmtId="0" fontId="29" fillId="11" borderId="0" xfId="0" applyFont="1" applyFill="1" applyAlignment="1">
      <alignment horizontal="right" vertical="center"/>
    </xf>
    <xf numFmtId="0" fontId="23" fillId="11" borderId="23" xfId="0" applyFont="1" applyFill="1" applyBorder="1" applyAlignment="1">
      <alignment horizontal="left" vertical="center"/>
    </xf>
    <xf numFmtId="14" fontId="23" fillId="11" borderId="23" xfId="0" applyNumberFormat="1" applyFont="1" applyFill="1" applyBorder="1" applyAlignment="1" applyProtection="1">
      <alignment horizontal="center" vertical="center"/>
      <protection locked="0"/>
    </xf>
    <xf numFmtId="0" fontId="23" fillId="7" borderId="22" xfId="0" applyFont="1" applyFill="1" applyBorder="1" applyAlignment="1" applyProtection="1">
      <alignment horizontal="center" vertical="center"/>
      <protection locked="0"/>
    </xf>
    <xf numFmtId="14" fontId="8" fillId="12" borderId="20" xfId="0" applyNumberFormat="1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/>
    </xf>
    <xf numFmtId="164" fontId="27" fillId="4" borderId="20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34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64" fontId="18" fillId="10" borderId="8" xfId="0" applyNumberFormat="1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right" vertical="center"/>
    </xf>
    <xf numFmtId="0" fontId="13" fillId="6" borderId="25" xfId="0" applyFont="1" applyFill="1" applyBorder="1" applyAlignment="1">
      <alignment horizontal="right" vertical="center"/>
    </xf>
    <xf numFmtId="0" fontId="15" fillId="9" borderId="27" xfId="0" applyFont="1" applyFill="1" applyBorder="1" applyAlignment="1">
      <alignment horizontal="right" vertical="center"/>
    </xf>
    <xf numFmtId="0" fontId="15" fillId="8" borderId="23" xfId="0" applyFont="1" applyFill="1" applyBorder="1" applyAlignment="1">
      <alignment horizontal="right" vertical="center"/>
    </xf>
    <xf numFmtId="0" fontId="15" fillId="9" borderId="23" xfId="0" applyFont="1" applyFill="1" applyBorder="1" applyAlignment="1">
      <alignment horizontal="right" vertical="center"/>
    </xf>
    <xf numFmtId="0" fontId="16" fillId="3" borderId="22" xfId="0" applyFont="1" applyFill="1" applyBorder="1" applyAlignment="1">
      <alignment horizontal="right" vertical="center"/>
    </xf>
    <xf numFmtId="0" fontId="16" fillId="13" borderId="23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3" xfId="0" applyNumberFormat="1" applyFont="1" applyFill="1" applyBorder="1" applyAlignment="1">
      <alignment horizontal="center" vertical="center"/>
    </xf>
    <xf numFmtId="4" fontId="8" fillId="8" borderId="14" xfId="0" applyNumberFormat="1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3" borderId="30" xfId="0" applyNumberFormat="1" applyFont="1" applyFill="1" applyBorder="1" applyAlignment="1">
      <alignment horizontal="center" vertical="center"/>
    </xf>
    <xf numFmtId="4" fontId="8" fillId="13" borderId="14" xfId="0" applyNumberFormat="1" applyFont="1" applyFill="1" applyBorder="1" applyAlignment="1">
      <alignment horizontal="center" vertical="center"/>
    </xf>
    <xf numFmtId="4" fontId="8" fillId="3" borderId="14" xfId="0" applyNumberFormat="1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right" vertical="center"/>
    </xf>
    <xf numFmtId="164" fontId="10" fillId="5" borderId="32" xfId="0" applyNumberFormat="1" applyFont="1" applyFill="1" applyBorder="1" applyAlignment="1">
      <alignment horizontal="center" vertical="center"/>
    </xf>
    <xf numFmtId="4" fontId="10" fillId="5" borderId="33" xfId="0" applyNumberFormat="1" applyFont="1" applyFill="1" applyBorder="1" applyAlignment="1">
      <alignment horizontal="center" vertical="center"/>
    </xf>
    <xf numFmtId="4" fontId="10" fillId="5" borderId="34" xfId="0" applyNumberFormat="1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right" vertical="center"/>
    </xf>
    <xf numFmtId="0" fontId="8" fillId="14" borderId="10" xfId="0" applyFont="1" applyFill="1" applyBorder="1" applyAlignment="1">
      <alignment horizontal="center" vertical="center"/>
    </xf>
    <xf numFmtId="2" fontId="8" fillId="14" borderId="15" xfId="0" applyNumberFormat="1" applyFont="1" applyFill="1" applyBorder="1" applyAlignment="1">
      <alignment horizontal="center" vertical="center"/>
    </xf>
    <xf numFmtId="0" fontId="30" fillId="4" borderId="23" xfId="0" applyFont="1" applyFill="1" applyBorder="1"/>
    <xf numFmtId="0" fontId="0" fillId="4" borderId="0" xfId="0" applyFill="1"/>
    <xf numFmtId="0" fontId="31" fillId="4" borderId="23" xfId="0" applyFont="1" applyFill="1" applyBorder="1"/>
    <xf numFmtId="0" fontId="30" fillId="4" borderId="0" xfId="0" applyFont="1" applyFill="1"/>
    <xf numFmtId="0" fontId="23" fillId="11" borderId="0" xfId="0" applyFont="1" applyFill="1" applyAlignment="1">
      <alignment horizontal="left" vertical="top"/>
    </xf>
    <xf numFmtId="0" fontId="23" fillId="11" borderId="0" xfId="0" applyFont="1" applyFill="1" applyAlignment="1">
      <alignment horizontal="left" vertical="center"/>
    </xf>
    <xf numFmtId="0" fontId="23" fillId="7" borderId="12" xfId="0" applyFont="1" applyFill="1" applyBorder="1" applyAlignment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2" xfId="0" applyFont="1" applyFill="1" applyBorder="1" applyAlignment="1">
      <alignment horizontal="left" vertical="center"/>
    </xf>
    <xf numFmtId="0" fontId="34" fillId="4" borderId="2" xfId="0" applyFont="1" applyFill="1" applyBorder="1" applyAlignment="1">
      <alignment horizontal="center" vertical="center"/>
    </xf>
    <xf numFmtId="20" fontId="34" fillId="4" borderId="2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/>
    </xf>
    <xf numFmtId="0" fontId="13" fillId="4" borderId="27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2" fontId="8" fillId="14" borderId="28" xfId="0" applyNumberFormat="1" applyFont="1" applyFill="1" applyBorder="1" applyAlignment="1">
      <alignment horizontal="center" vertical="center"/>
    </xf>
    <xf numFmtId="4" fontId="8" fillId="9" borderId="27" xfId="0" applyNumberFormat="1" applyFont="1" applyFill="1" applyBorder="1" applyAlignment="1">
      <alignment horizontal="center" vertical="center"/>
    </xf>
    <xf numFmtId="4" fontId="8" fillId="8" borderId="23" xfId="0" applyNumberFormat="1" applyFont="1" applyFill="1" applyBorder="1" applyAlignment="1">
      <alignment horizontal="center" vertical="center"/>
    </xf>
    <xf numFmtId="4" fontId="8" fillId="9" borderId="23" xfId="0" applyNumberFormat="1" applyFont="1" applyFill="1" applyBorder="1" applyAlignment="1">
      <alignment horizontal="center" vertical="center"/>
    </xf>
    <xf numFmtId="4" fontId="8" fillId="3" borderId="22" xfId="0" applyNumberFormat="1" applyFont="1" applyFill="1" applyBorder="1" applyAlignment="1">
      <alignment horizontal="center" vertical="center"/>
    </xf>
    <xf numFmtId="4" fontId="8" fillId="13" borderId="23" xfId="0" applyNumberFormat="1" applyFont="1" applyFill="1" applyBorder="1" applyAlignment="1">
      <alignment horizontal="center" vertical="center"/>
    </xf>
    <xf numFmtId="4" fontId="8" fillId="3" borderId="23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2" fillId="0" borderId="35" xfId="0" applyFont="1" applyBorder="1"/>
    <xf numFmtId="0" fontId="2" fillId="16" borderId="0" xfId="0" applyFont="1" applyFill="1" applyAlignment="1">
      <alignment horizontal="center" vertical="center"/>
    </xf>
    <xf numFmtId="0" fontId="35" fillId="16" borderId="19" xfId="0" applyFont="1" applyFill="1" applyBorder="1" applyAlignment="1">
      <alignment horizontal="center"/>
    </xf>
    <xf numFmtId="0" fontId="20" fillId="16" borderId="20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right" vertical="center"/>
    </xf>
    <xf numFmtId="164" fontId="9" fillId="2" borderId="37" xfId="0" applyNumberFormat="1" applyFont="1" applyFill="1" applyBorder="1" applyAlignment="1">
      <alignment horizontal="center" vertical="center"/>
    </xf>
    <xf numFmtId="164" fontId="9" fillId="2" borderId="38" xfId="0" applyNumberFormat="1" applyFont="1" applyFill="1" applyBorder="1" applyAlignment="1">
      <alignment horizontal="center" vertical="center"/>
    </xf>
    <xf numFmtId="164" fontId="9" fillId="2" borderId="36" xfId="0" applyNumberFormat="1" applyFont="1" applyFill="1" applyBorder="1" applyAlignment="1">
      <alignment horizontal="center" vertical="center"/>
    </xf>
    <xf numFmtId="164" fontId="36" fillId="4" borderId="20" xfId="0" applyNumberFormat="1" applyFont="1" applyFill="1" applyBorder="1" applyAlignment="1">
      <alignment horizontal="center" vertical="center"/>
    </xf>
    <xf numFmtId="164" fontId="24" fillId="4" borderId="20" xfId="0" applyNumberFormat="1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vertical="center"/>
    </xf>
    <xf numFmtId="0" fontId="37" fillId="4" borderId="21" xfId="0" applyFont="1" applyFill="1" applyBorder="1"/>
    <xf numFmtId="0" fontId="37" fillId="4" borderId="12" xfId="0" applyFont="1" applyFill="1" applyBorder="1"/>
    <xf numFmtId="0" fontId="37" fillId="4" borderId="22" xfId="0" applyFont="1" applyFill="1" applyBorder="1"/>
    <xf numFmtId="0" fontId="38" fillId="4" borderId="20" xfId="0" applyFont="1" applyFill="1" applyBorder="1"/>
    <xf numFmtId="0" fontId="38" fillId="4" borderId="23" xfId="0" applyFont="1" applyFill="1" applyBorder="1"/>
    <xf numFmtId="0" fontId="39" fillId="4" borderId="20" xfId="0" applyFont="1" applyFill="1" applyBorder="1" applyAlignment="1">
      <alignment vertical="center"/>
    </xf>
    <xf numFmtId="0" fontId="38" fillId="4" borderId="23" xfId="0" applyFont="1" applyFill="1" applyBorder="1" applyAlignment="1">
      <alignment vertical="center"/>
    </xf>
    <xf numFmtId="0" fontId="41" fillId="4" borderId="20" xfId="0" applyFont="1" applyFill="1" applyBorder="1" applyAlignment="1">
      <alignment vertical="center"/>
    </xf>
    <xf numFmtId="0" fontId="40" fillId="11" borderId="20" xfId="0" applyFont="1" applyFill="1" applyBorder="1" applyAlignment="1">
      <alignment vertical="center"/>
    </xf>
    <xf numFmtId="0" fontId="40" fillId="11" borderId="23" xfId="0" applyFont="1" applyFill="1" applyBorder="1" applyAlignment="1">
      <alignment vertical="center"/>
    </xf>
    <xf numFmtId="0" fontId="40" fillId="4" borderId="20" xfId="0" applyFont="1" applyFill="1" applyBorder="1" applyAlignment="1">
      <alignment vertical="center"/>
    </xf>
    <xf numFmtId="0" fontId="40" fillId="4" borderId="23" xfId="0" applyFont="1" applyFill="1" applyBorder="1" applyAlignment="1">
      <alignment vertical="center"/>
    </xf>
    <xf numFmtId="0" fontId="40" fillId="12" borderId="20" xfId="0" applyFont="1" applyFill="1" applyBorder="1" applyAlignment="1">
      <alignment vertical="center"/>
    </xf>
    <xf numFmtId="0" fontId="40" fillId="9" borderId="20" xfId="0" applyFont="1" applyFill="1" applyBorder="1" applyAlignment="1">
      <alignment vertical="center"/>
    </xf>
    <xf numFmtId="0" fontId="40" fillId="9" borderId="23" xfId="0" applyFont="1" applyFill="1" applyBorder="1" applyAlignment="1">
      <alignment vertical="center"/>
    </xf>
    <xf numFmtId="0" fontId="42" fillId="9" borderId="20" xfId="0" applyFont="1" applyFill="1" applyBorder="1" applyAlignment="1">
      <alignment vertical="center"/>
    </xf>
    <xf numFmtId="0" fontId="43" fillId="9" borderId="23" xfId="0" applyFont="1" applyFill="1" applyBorder="1" applyAlignment="1">
      <alignment vertical="center"/>
    </xf>
    <xf numFmtId="0" fontId="42" fillId="4" borderId="20" xfId="0" applyFont="1" applyFill="1" applyBorder="1" applyAlignment="1">
      <alignment vertical="center"/>
    </xf>
    <xf numFmtId="0" fontId="43" fillId="4" borderId="23" xfId="0" applyFont="1" applyFill="1" applyBorder="1" applyAlignment="1">
      <alignment vertical="center"/>
    </xf>
    <xf numFmtId="0" fontId="45" fillId="12" borderId="23" xfId="0" applyFont="1" applyFill="1" applyBorder="1" applyAlignment="1">
      <alignment vertical="center"/>
    </xf>
    <xf numFmtId="0" fontId="45" fillId="4" borderId="23" xfId="0" applyFont="1" applyFill="1" applyBorder="1" applyAlignment="1">
      <alignment vertical="center"/>
    </xf>
    <xf numFmtId="0" fontId="45" fillId="4" borderId="18" xfId="0" applyFont="1" applyFill="1" applyBorder="1" applyAlignment="1">
      <alignment vertical="center"/>
    </xf>
    <xf numFmtId="0" fontId="45" fillId="4" borderId="29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24" fillId="16" borderId="18" xfId="0" applyNumberFormat="1" applyFont="1" applyFill="1" applyBorder="1" applyAlignment="1">
      <alignment horizontal="center"/>
    </xf>
    <xf numFmtId="0" fontId="38" fillId="4" borderId="0" xfId="0" applyFont="1" applyFill="1"/>
    <xf numFmtId="0" fontId="40" fillId="4" borderId="0" xfId="0" applyFont="1" applyFill="1" applyAlignment="1">
      <alignment vertical="center"/>
    </xf>
    <xf numFmtId="0" fontId="40" fillId="11" borderId="0" xfId="0" applyFont="1" applyFill="1" applyAlignment="1">
      <alignment vertical="center"/>
    </xf>
    <xf numFmtId="0" fontId="40" fillId="9" borderId="0" xfId="0" applyFont="1" applyFill="1" applyAlignment="1">
      <alignment vertical="center"/>
    </xf>
    <xf numFmtId="0" fontId="43" fillId="9" borderId="0" xfId="0" applyFont="1" applyFill="1" applyAlignment="1">
      <alignment vertical="center"/>
    </xf>
    <xf numFmtId="0" fontId="43" fillId="4" borderId="0" xfId="0" applyFont="1" applyFill="1" applyAlignment="1">
      <alignment vertical="center"/>
    </xf>
    <xf numFmtId="0" fontId="45" fillId="12" borderId="0" xfId="0" applyFont="1" applyFill="1" applyAlignment="1">
      <alignment vertical="center"/>
    </xf>
    <xf numFmtId="0" fontId="45" fillId="4" borderId="0" xfId="0" applyFont="1" applyFill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46" fillId="4" borderId="18" xfId="0" applyFont="1" applyFill="1" applyBorder="1" applyAlignment="1">
      <alignment vertical="center"/>
    </xf>
    <xf numFmtId="164" fontId="7" fillId="12" borderId="25" xfId="0" applyNumberFormat="1" applyFont="1" applyFill="1" applyBorder="1" applyAlignment="1">
      <alignment horizontal="center" vertical="center"/>
    </xf>
    <xf numFmtId="165" fontId="7" fillId="12" borderId="25" xfId="0" applyNumberFormat="1" applyFont="1" applyFill="1" applyBorder="1" applyAlignment="1">
      <alignment horizontal="center" vertical="center"/>
    </xf>
    <xf numFmtId="20" fontId="7" fillId="12" borderId="25" xfId="0" applyNumberFormat="1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14" fontId="23" fillId="11" borderId="28" xfId="0" applyNumberFormat="1" applyFont="1" applyFill="1" applyBorder="1" applyAlignment="1">
      <alignment horizontal="center" vertical="center" wrapText="1"/>
    </xf>
    <xf numFmtId="0" fontId="47" fillId="16" borderId="19" xfId="0" applyFont="1" applyFill="1" applyBorder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165" fontId="1" fillId="12" borderId="0" xfId="0" applyNumberFormat="1" applyFont="1" applyFill="1" applyAlignment="1">
      <alignment horizontal="center"/>
    </xf>
    <xf numFmtId="20" fontId="8" fillId="4" borderId="2" xfId="0" applyNumberFormat="1" applyFont="1" applyFill="1" applyBorder="1" applyAlignment="1">
      <alignment horizontal="center" vertical="center"/>
    </xf>
    <xf numFmtId="164" fontId="8" fillId="12" borderId="0" xfId="0" applyNumberFormat="1" applyFont="1" applyFill="1" applyAlignment="1">
      <alignment horizontal="center"/>
    </xf>
    <xf numFmtId="164" fontId="1" fillId="0" borderId="0" xfId="0" applyNumberFormat="1" applyFont="1"/>
    <xf numFmtId="166" fontId="7" fillId="6" borderId="14" xfId="0" applyNumberFormat="1" applyFont="1" applyFill="1" applyBorder="1" applyAlignment="1">
      <alignment horizontal="center" vertical="center"/>
    </xf>
    <xf numFmtId="166" fontId="8" fillId="14" borderId="15" xfId="0" applyNumberFormat="1" applyFont="1" applyFill="1" applyBorder="1" applyAlignment="1">
      <alignment horizontal="center" vertical="center"/>
    </xf>
    <xf numFmtId="166" fontId="10" fillId="5" borderId="33" xfId="0" applyNumberFormat="1" applyFont="1" applyFill="1" applyBorder="1" applyAlignment="1">
      <alignment horizontal="center" vertical="center"/>
    </xf>
    <xf numFmtId="20" fontId="1" fillId="0" borderId="0" xfId="0" applyNumberFormat="1" applyFont="1"/>
    <xf numFmtId="20" fontId="7" fillId="12" borderId="2" xfId="0" applyNumberFormat="1" applyFont="1" applyFill="1" applyBorder="1" applyAlignment="1" applyProtection="1">
      <alignment horizontal="center" vertical="center"/>
    </xf>
    <xf numFmtId="164" fontId="34" fillId="12" borderId="2" xfId="0" applyNumberFormat="1" applyFont="1" applyFill="1" applyBorder="1" applyAlignment="1">
      <alignment horizontal="center" vertical="center"/>
    </xf>
    <xf numFmtId="0" fontId="16" fillId="13" borderId="23" xfId="0" applyFont="1" applyFill="1" applyBorder="1" applyAlignment="1">
      <alignment horizontal="right"/>
    </xf>
    <xf numFmtId="164" fontId="8" fillId="1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4" xfId="0" applyFont="1" applyFill="1" applyBorder="1"/>
    <xf numFmtId="0" fontId="8" fillId="3" borderId="15" xfId="0" applyNumberFormat="1" applyFont="1" applyFill="1" applyBorder="1" applyAlignment="1">
      <alignment horizontal="center" vertical="center"/>
    </xf>
    <xf numFmtId="0" fontId="38" fillId="12" borderId="20" xfId="0" applyFont="1" applyFill="1" applyBorder="1" applyAlignment="1">
      <alignment vertical="center"/>
    </xf>
    <xf numFmtId="0" fontId="38" fillId="12" borderId="0" xfId="0" applyFont="1" applyFill="1" applyAlignment="1">
      <alignment vertical="center"/>
    </xf>
    <xf numFmtId="0" fontId="38" fillId="12" borderId="23" xfId="0" applyFont="1" applyFill="1" applyBorder="1" applyAlignment="1">
      <alignment vertical="center"/>
    </xf>
    <xf numFmtId="0" fontId="49" fillId="12" borderId="20" xfId="0" applyFont="1" applyFill="1" applyBorder="1" applyAlignment="1">
      <alignment vertical="center"/>
    </xf>
    <xf numFmtId="0" fontId="49" fillId="12" borderId="0" xfId="0" applyFont="1" applyFill="1" applyAlignment="1">
      <alignment vertical="center"/>
    </xf>
    <xf numFmtId="0" fontId="37" fillId="4" borderId="19" xfId="0" applyFont="1" applyFill="1" applyBorder="1" applyAlignment="1">
      <alignment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3"/>
  <sheetViews>
    <sheetView tabSelected="1" zoomScale="75" zoomScaleNormal="75" workbookViewId="0">
      <selection activeCell="A2" sqref="A2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135" t="s">
        <v>68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48"/>
    </row>
    <row r="2" spans="1:12" ht="12" customHeight="1">
      <c r="A2" s="138"/>
      <c r="B2" s="161"/>
      <c r="C2" s="161"/>
      <c r="D2" s="161"/>
      <c r="E2" s="161"/>
      <c r="F2" s="161"/>
      <c r="G2" s="161"/>
      <c r="H2" s="161"/>
      <c r="I2" s="161"/>
      <c r="J2" s="161"/>
      <c r="K2" s="139"/>
      <c r="L2" s="49"/>
    </row>
    <row r="3" spans="1:12" ht="26" customHeight="1">
      <c r="A3" s="140" t="s">
        <v>38</v>
      </c>
      <c r="B3" s="162"/>
      <c r="C3" s="162"/>
      <c r="D3" s="162"/>
      <c r="E3" s="162"/>
      <c r="F3" s="162"/>
      <c r="G3" s="162"/>
      <c r="H3" s="162"/>
      <c r="I3" s="162"/>
      <c r="J3" s="162"/>
      <c r="K3" s="141"/>
      <c r="L3" s="49"/>
    </row>
    <row r="4" spans="1:12" ht="24" customHeight="1">
      <c r="A4" s="142" t="s">
        <v>60</v>
      </c>
      <c r="B4" s="162"/>
      <c r="C4" s="162"/>
      <c r="D4" s="162"/>
      <c r="E4" s="162"/>
      <c r="F4" s="162"/>
      <c r="G4" s="162"/>
      <c r="H4" s="162"/>
      <c r="I4" s="162"/>
      <c r="J4" s="162"/>
      <c r="K4" s="141"/>
      <c r="L4" s="49"/>
    </row>
    <row r="5" spans="1:12" ht="24" customHeight="1">
      <c r="A5" s="142"/>
      <c r="B5" s="162"/>
      <c r="C5" s="162"/>
      <c r="D5" s="162"/>
      <c r="E5" s="162"/>
      <c r="F5" s="162"/>
      <c r="G5" s="162"/>
      <c r="H5" s="162"/>
      <c r="I5" s="162"/>
      <c r="J5" s="162"/>
      <c r="K5" s="141"/>
      <c r="L5" s="49"/>
    </row>
    <row r="6" spans="1:12" ht="28" customHeight="1">
      <c r="A6" s="143" t="s">
        <v>29</v>
      </c>
      <c r="B6" s="163"/>
      <c r="C6" s="163"/>
      <c r="D6" s="163"/>
      <c r="E6" s="163"/>
      <c r="F6" s="163"/>
      <c r="G6" s="163"/>
      <c r="H6" s="163"/>
      <c r="I6" s="163"/>
      <c r="J6" s="163"/>
      <c r="K6" s="144"/>
      <c r="L6" s="59"/>
    </row>
    <row r="7" spans="1:12" ht="22.75" customHeight="1">
      <c r="A7" s="143" t="s">
        <v>57</v>
      </c>
      <c r="B7" s="163"/>
      <c r="C7" s="163"/>
      <c r="D7" s="163"/>
      <c r="E7" s="163"/>
      <c r="F7" s="163"/>
      <c r="G7" s="163"/>
      <c r="H7" s="163"/>
      <c r="I7" s="163"/>
      <c r="J7" s="163"/>
      <c r="K7" s="144"/>
      <c r="L7" s="59"/>
    </row>
    <row r="8" spans="1:12" ht="23" customHeight="1">
      <c r="A8" s="143" t="s">
        <v>59</v>
      </c>
      <c r="B8" s="163"/>
      <c r="C8" s="163"/>
      <c r="D8" s="163"/>
      <c r="E8" s="163"/>
      <c r="F8" s="163"/>
      <c r="G8" s="163"/>
      <c r="H8" s="163"/>
      <c r="I8" s="163"/>
      <c r="J8" s="163"/>
      <c r="K8" s="144"/>
      <c r="L8" s="59"/>
    </row>
    <row r="9" spans="1:12" ht="23" customHeight="1">
      <c r="A9" s="143"/>
      <c r="B9" s="163"/>
      <c r="C9" s="163"/>
      <c r="D9" s="163"/>
      <c r="E9" s="163"/>
      <c r="F9" s="163"/>
      <c r="G9" s="163"/>
      <c r="H9" s="163"/>
      <c r="I9" s="163"/>
      <c r="J9" s="163"/>
      <c r="K9" s="144"/>
      <c r="L9" s="59"/>
    </row>
    <row r="10" spans="1:12" ht="23" customHeight="1">
      <c r="A10" s="143" t="s">
        <v>58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44"/>
      <c r="L10" s="59"/>
    </row>
    <row r="11" spans="1:12" s="101" customFormat="1" ht="23" customHeight="1">
      <c r="A11" s="145"/>
      <c r="B11" s="162"/>
      <c r="C11" s="162"/>
      <c r="D11" s="162"/>
      <c r="E11" s="162"/>
      <c r="F11" s="162"/>
      <c r="G11" s="162"/>
      <c r="H11" s="162"/>
      <c r="I11" s="162"/>
      <c r="J11" s="162"/>
      <c r="K11" s="146"/>
      <c r="L11" s="100"/>
    </row>
    <row r="12" spans="1:12" ht="27" customHeight="1">
      <c r="A12" s="194" t="s">
        <v>36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6"/>
      <c r="L12" s="60"/>
    </row>
    <row r="13" spans="1:12" ht="24" customHeight="1">
      <c r="A13" s="197" t="s">
        <v>37</v>
      </c>
      <c r="B13" s="198"/>
      <c r="C13" s="198"/>
      <c r="D13" s="198"/>
      <c r="E13" s="198"/>
      <c r="F13" s="198"/>
      <c r="G13" s="198"/>
      <c r="H13" s="198"/>
      <c r="I13" s="195"/>
      <c r="J13" s="195"/>
      <c r="K13" s="196"/>
      <c r="L13" s="60"/>
    </row>
    <row r="14" spans="1:12" ht="24" customHeight="1">
      <c r="A14" s="197" t="s">
        <v>61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6"/>
      <c r="L14" s="60"/>
    </row>
    <row r="15" spans="1:12" ht="24" customHeight="1">
      <c r="A15" s="194" t="s">
        <v>62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  <c r="L15" s="60"/>
    </row>
    <row r="16" spans="1:12" ht="24" customHeight="1">
      <c r="A16" s="194" t="s">
        <v>63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6"/>
      <c r="L16" s="60"/>
    </row>
    <row r="17" spans="1:12" ht="25" customHeight="1">
      <c r="A17" s="194"/>
      <c r="B17" s="195"/>
      <c r="C17" s="195"/>
      <c r="D17" s="195"/>
      <c r="E17" s="195"/>
      <c r="F17" s="195"/>
      <c r="G17" s="195"/>
      <c r="H17" s="195"/>
      <c r="I17" s="195"/>
      <c r="J17" s="195"/>
      <c r="K17" s="196"/>
      <c r="L17" s="60"/>
    </row>
    <row r="18" spans="1:12" ht="24" customHeight="1">
      <c r="A18" s="194" t="s">
        <v>64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6"/>
      <c r="L18" s="60"/>
    </row>
    <row r="19" spans="1:12" ht="24" customHeight="1">
      <c r="A19" s="194" t="s">
        <v>46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  <c r="L19" s="60"/>
    </row>
    <row r="20" spans="1:12" ht="24" customHeight="1">
      <c r="A20" s="194" t="s">
        <v>65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6"/>
      <c r="L20" s="60"/>
    </row>
    <row r="21" spans="1:12" ht="24" customHeight="1">
      <c r="A21" s="194" t="s">
        <v>66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6"/>
      <c r="L21" s="60"/>
    </row>
    <row r="22" spans="1:12" s="101" customFormat="1" ht="24" customHeight="1">
      <c r="A22" s="145"/>
      <c r="B22" s="162"/>
      <c r="C22" s="162"/>
      <c r="D22" s="162"/>
      <c r="E22" s="162"/>
      <c r="F22" s="162"/>
      <c r="G22" s="162"/>
      <c r="H22" s="162"/>
      <c r="I22" s="162"/>
      <c r="J22" s="162"/>
      <c r="K22" s="146"/>
      <c r="L22" s="100"/>
    </row>
    <row r="23" spans="1:12" s="51" customFormat="1" ht="25" customHeight="1">
      <c r="A23" s="148" t="s">
        <v>35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49"/>
      <c r="L23" s="50"/>
    </row>
    <row r="24" spans="1:12" s="51" customFormat="1" ht="25" customHeight="1">
      <c r="A24" s="150" t="s">
        <v>34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51"/>
      <c r="L24" s="58"/>
    </row>
    <row r="25" spans="1:12" s="51" customFormat="1" ht="23" customHeight="1">
      <c r="A25" s="150" t="s">
        <v>51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51"/>
    </row>
    <row r="26" spans="1:12" s="51" customFormat="1" ht="23" customHeight="1">
      <c r="A26" s="150" t="s">
        <v>54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51"/>
    </row>
    <row r="27" spans="1:12" s="51" customFormat="1" ht="23" customHeight="1">
      <c r="A27" s="150" t="s">
        <v>55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51"/>
    </row>
    <row r="28" spans="1:12" s="103" customFormat="1" ht="25" customHeight="1">
      <c r="A28" s="152"/>
      <c r="B28" s="166"/>
      <c r="C28" s="166"/>
      <c r="D28" s="166"/>
      <c r="E28" s="166"/>
      <c r="F28" s="166"/>
      <c r="G28" s="166"/>
      <c r="H28" s="166"/>
      <c r="I28" s="166"/>
      <c r="J28" s="166"/>
      <c r="K28" s="153"/>
      <c r="L28" s="102"/>
    </row>
    <row r="29" spans="1:12" ht="25" customHeight="1">
      <c r="A29" s="147" t="s">
        <v>39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54"/>
      <c r="L29" s="52"/>
    </row>
    <row r="30" spans="1:12" ht="25" customHeight="1">
      <c r="A30" s="147" t="s">
        <v>40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54"/>
      <c r="L30" s="52"/>
    </row>
    <row r="31" spans="1:12" s="101" customFormat="1" ht="25" customHeight="1">
      <c r="A31" s="145"/>
      <c r="B31" s="168"/>
      <c r="C31" s="168"/>
      <c r="D31" s="168"/>
      <c r="E31" s="168"/>
      <c r="F31" s="168"/>
      <c r="G31" s="168"/>
      <c r="H31" s="168"/>
      <c r="I31" s="168"/>
      <c r="J31" s="168"/>
      <c r="K31" s="155"/>
      <c r="L31" s="102"/>
    </row>
    <row r="32" spans="1:12" s="55" customFormat="1" ht="18.5" customHeight="1">
      <c r="A32" s="169" t="s">
        <v>41</v>
      </c>
      <c r="B32" s="170"/>
      <c r="C32" s="170"/>
      <c r="D32" s="170"/>
      <c r="E32" s="170"/>
      <c r="F32" s="168"/>
      <c r="G32" s="168"/>
      <c r="H32" s="168"/>
      <c r="I32" s="168"/>
      <c r="J32" s="168"/>
      <c r="K32" s="155"/>
      <c r="L32" s="56"/>
    </row>
    <row r="33" spans="1:11" ht="20.5" customHeight="1">
      <c r="A33" s="199" t="s">
        <v>67</v>
      </c>
      <c r="B33" s="171"/>
      <c r="C33" s="171"/>
      <c r="D33" s="171"/>
      <c r="E33" s="171"/>
      <c r="F33" s="156"/>
      <c r="G33" s="156"/>
      <c r="H33" s="156"/>
      <c r="I33" s="156"/>
      <c r="J33" s="156"/>
      <c r="K33" s="157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" right="0" top="0.15748031496062992" bottom="0.15748031496062992" header="0.11811023622047244" footer="0.1181102362204724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J42"/>
  <sheetViews>
    <sheetView topLeftCell="A4" zoomScale="75" zoomScaleNormal="75" workbookViewId="0">
      <selection activeCell="C8" sqref="C8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10" ht="30" customHeight="1">
      <c r="A1" s="42" t="s">
        <v>0</v>
      </c>
      <c r="B1" s="53" t="s">
        <v>42</v>
      </c>
      <c r="C1" s="108"/>
      <c r="D1" s="64" t="s">
        <v>43</v>
      </c>
      <c r="E1" s="43" t="s">
        <v>1</v>
      </c>
      <c r="F1" s="53" t="s">
        <v>2</v>
      </c>
      <c r="G1" s="106"/>
      <c r="H1" s="37"/>
    </row>
    <row r="2" spans="1:10" ht="20" customHeight="1">
      <c r="A2" s="44" t="s">
        <v>30</v>
      </c>
      <c r="B2" s="54" t="s">
        <v>44</v>
      </c>
      <c r="C2" s="61" t="s">
        <v>47</v>
      </c>
      <c r="D2" s="63">
        <f>DATE(2024,6,3)</f>
        <v>43984</v>
      </c>
      <c r="E2" s="61" t="s">
        <v>3</v>
      </c>
      <c r="F2" s="54" t="s">
        <v>45</v>
      </c>
      <c r="G2" s="105"/>
      <c r="H2" s="62"/>
    </row>
    <row r="3" spans="1:10" ht="20" customHeight="1" thickBot="1">
      <c r="A3" s="44"/>
      <c r="B3" s="105"/>
      <c r="C3" s="61" t="s">
        <v>48</v>
      </c>
      <c r="D3" s="176">
        <f>D2+DAY(5)</f>
        <v>43990</v>
      </c>
      <c r="E3" s="45"/>
      <c r="F3" s="104"/>
      <c r="G3" s="104"/>
      <c r="H3" s="38"/>
    </row>
    <row r="4" spans="1:10" s="3" customFormat="1" ht="46.5" customHeight="1">
      <c r="A4" s="25" t="s">
        <v>4</v>
      </c>
      <c r="B4" s="26" t="s">
        <v>31</v>
      </c>
      <c r="C4" s="26" t="s">
        <v>53</v>
      </c>
      <c r="D4" s="28" t="s">
        <v>5</v>
      </c>
      <c r="E4" s="26" t="s">
        <v>6</v>
      </c>
      <c r="F4" s="27" t="s">
        <v>7</v>
      </c>
      <c r="G4" s="28" t="s">
        <v>49</v>
      </c>
      <c r="H4" s="29" t="s">
        <v>8</v>
      </c>
    </row>
    <row r="5" spans="1:10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7">
        <v>0</v>
      </c>
      <c r="D5" s="66"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7">
        <v>0</v>
      </c>
    </row>
    <row r="6" spans="1:10" ht="17.25" customHeight="1">
      <c r="A6" s="65">
        <f>D2</f>
        <v>43984</v>
      </c>
      <c r="B6" s="71" t="str">
        <f>IF(E6="", "","(journée continue)")</f>
        <v/>
      </c>
      <c r="C6" s="187">
        <f>IF(OR(AND(D5=0/24, D6=0/24,), AND(C5=0/24, D6=0/24), (MOD(D6-C5,24) =D6)), 0/24, C5+1/24)</f>
        <v>0</v>
      </c>
      <c r="D6" s="66">
        <v>0</v>
      </c>
      <c r="E6" s="188" t="str">
        <f>IF(SUM(D7,E7)=0/24,"",SUM(D7,E7))</f>
        <v/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79"/>
      <c r="H6" s="172"/>
    </row>
    <row r="7" spans="1:10" ht="17.25" customHeight="1">
      <c r="A7" s="70">
        <f>IF(A6="", Deb, IF(A6&gt;DATE(YEAR(A6),3,20),IF(A6&lt;DATE(YEAR(A6),12,21),22 / 24,20 / 24),20 /24))</f>
        <v>0.91666666666666663</v>
      </c>
      <c r="B7" s="69" t="str">
        <f>IF(A6 &lt;&gt; "", IF(A5="DIMANCHE", "(majoration dimanche)", ""), "")</f>
        <v/>
      </c>
      <c r="C7" s="73">
        <f>IF(C6 = C5, (MOD(D6-D5,1)),0)</f>
        <v>0</v>
      </c>
      <c r="D7" s="67">
        <f>IF(C5=0 / 24,0,IF((MOD(C5-D5,1))&lt;6 / 24,0,0.34 / 24))</f>
        <v>0</v>
      </c>
      <c r="E7" s="40">
        <f>IF(C7&gt;=(6 / 24),0.34 / 24,(IF(C5 = C6, IF(MOD(D6-D5, 1) &lt;6/24, 0, 0.34/24), IF((MOD(D6-C6,1))&lt;6/24,0,0.34/24))))</f>
        <v>0</v>
      </c>
      <c r="F7" s="16" t="str">
        <f>IF(OR(F6=" ", F6=0)," ","(minoration repas nuit)")</f>
        <v xml:space="preserve"> </v>
      </c>
      <c r="G7" s="180"/>
      <c r="H7" s="39">
        <f>IF((E5)&lt;12/24,0/24,(E5)-12/24)</f>
        <v>0</v>
      </c>
    </row>
    <row r="8" spans="1:10" ht="17.25" customHeight="1">
      <c r="A8" s="34" t="str">
        <f>CHOOSE(WEEKDAY(A6+1,2),"LUNDI","MARDI","MERCREDI","JEUDI","VENDREDI","SAMEDI","DIMANCHE")</f>
        <v>MARDI</v>
      </c>
      <c r="B8" s="86" t="str">
        <f>IF(OR(C8&lt;&gt;0, C9 &lt;&gt;0,), IF(MOD(C9-C8, 1) &lt; 0.041, "(pause réduite)", ""), "")</f>
        <v/>
      </c>
      <c r="C8" s="107">
        <v>0</v>
      </c>
      <c r="D8" s="66"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7">
        <v>0</v>
      </c>
      <c r="I8" s="182"/>
      <c r="J8" s="186"/>
    </row>
    <row r="9" spans="1:10" ht="17.25" customHeight="1">
      <c r="A9" s="65">
        <f>IF(AND(DATE(YEAR(D2),MONTH(D2),DAY(D2))&lt;DATE(YEAR(D3),MONTH(D3),DAY(D3)), A6&lt;&gt;""),DATE(YEAR(D2),MONTH(D2),DAY(D2)+1),"")</f>
        <v>43985</v>
      </c>
      <c r="B9" s="15" t="str">
        <f>IF(E9="", "","(journée continue)")</f>
        <v/>
      </c>
      <c r="C9" s="187">
        <f>IF(OR(AND(D8=0/24, D9=0/24,), AND(C8=0/24, D9=0/24), (MOD(D9-C8,24) =D9)), 0/24, C8+1/24)</f>
        <v>0</v>
      </c>
      <c r="D9" s="66">
        <v>0</v>
      </c>
      <c r="E9" s="188" t="str">
        <f>IF(SUM(D10,E10)=0/24,"",SUM(D10,E10))</f>
        <v/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79"/>
      <c r="H9" s="173"/>
    </row>
    <row r="10" spans="1:10" ht="17.25" customHeight="1">
      <c r="A10" s="70">
        <f>IF(A9="", Deb, IF(A9&gt;DATE(YEAR(A9),3,20),IF(A9&lt;DATE(YEAR(A9),12,21),22 / 24,20 / 24),20 /24))</f>
        <v>0.91666666666666663</v>
      </c>
      <c r="B10" s="69" t="str">
        <f>IF(A9 &lt;&gt; "", IF(A8="DIMANCHE", "(majoration dimanche)", ""), "")</f>
        <v/>
      </c>
      <c r="C10" s="73">
        <f>IF(C9 = C8, (MOD(D9-D8,1)),0)</f>
        <v>0</v>
      </c>
      <c r="D10" s="67">
        <f>IF(C8=0 / 24,0,IF((MOD(C8-D8,1))&lt;6 / 24,0,0.34 / 24))</f>
        <v>0</v>
      </c>
      <c r="E10" s="73">
        <f>IF(C10&gt;=(6 / 24),0.34 / 24,(IF(C8 = C9, IF(MOD(D9-D8, 1) &lt;6 /24, 0, 0.34/24), IF((MOD(D9-C9,1))&lt;6/24,0,0.34/24))))</f>
        <v>0</v>
      </c>
      <c r="F10" s="16" t="str">
        <f>IF(F9=" "," ","(minoration repas nuit)")</f>
        <v xml:space="preserve"> </v>
      </c>
      <c r="G10" s="180"/>
      <c r="H10" s="39">
        <f>IF((E8)&lt;12/24,0/24,(E8)-12/24)</f>
        <v>0</v>
      </c>
    </row>
    <row r="11" spans="1:10" ht="17.25" customHeight="1">
      <c r="A11" s="34" t="str">
        <f>CHOOSE(WEEKDAY(A6+2,2),"LUNDI","MARDI","MERCREDI","JEUDI","VENDREDI","SAMEDI","DIMANCHE")</f>
        <v>MERCREDI</v>
      </c>
      <c r="B11" s="86" t="str">
        <f>IF(OR(C11&lt;&gt;0, C12 &lt;&gt;0,), IF(MOD(C12-C11, 1) &lt; 0.041, "(pause réduite)", ""), "")</f>
        <v/>
      </c>
      <c r="C11" s="107">
        <v>0</v>
      </c>
      <c r="D11" s="66"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181">
        <f>IF(AND(D8=0, D9=0), 0/24, (IF(D11=0/24,0/24,IF((MOD(D11-D9,1))&gt;=11/24,0/24,11/24-(MOD(D11-D9,1))))))</f>
        <v>0</v>
      </c>
      <c r="H11" s="57">
        <v>0</v>
      </c>
    </row>
    <row r="12" spans="1:10" ht="17.25" customHeight="1">
      <c r="A12" s="65">
        <f>IF(AND(DATE(YEAR(A9),MONTH(A9),DAY(A9))&lt;DATE(YEAR(D3),MONTH(D3),DAY(D3)), A9&lt;&gt;""),DATE(YEAR(D2),MONTH(D2),DAY(D2)+2), "")</f>
        <v>43986</v>
      </c>
      <c r="B12" s="15" t="str">
        <f>IF(E12="", "","(journée continue)")</f>
        <v/>
      </c>
      <c r="C12" s="187">
        <f>IF(OR(AND(D11=0/24, D12=0/24,), AND(C11=0/24, D12=0/24), (MOD(D12-C11,24) =D12)), 0/24, C11+1/24)</f>
        <v>0</v>
      </c>
      <c r="D12" s="68">
        <v>0</v>
      </c>
      <c r="E12" s="188" t="str">
        <f>IF(SUM(D13,E13)=0/24,"",SUM(D13,E13))</f>
        <v/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47"/>
      <c r="H12" s="174"/>
    </row>
    <row r="13" spans="1:10" ht="17.25" customHeight="1">
      <c r="A13" s="70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3">
        <f>IF(C12 = C11, (MOD(D12-D11,1)),0)</f>
        <v>0</v>
      </c>
      <c r="D13" s="67">
        <f>IF(C11=0 / 24,0,IF((MOD(C11-D11,1))&lt;6 / 24,0,0.34 / 24))</f>
        <v>0</v>
      </c>
      <c r="E13" s="40">
        <f>IF(C13&gt;=(6 / 24),0.34 / 24,(IF(C11 = C12, IF(MOD(D12-D11, 1) &lt;6/24, 0, 0.34/24), IF((MOD(D12-C12,1))&lt;6/24,0,0.34/24))))</f>
        <v>0</v>
      </c>
      <c r="F13" s="16" t="str">
        <f>IF(F12=" "," ","(minoration repas nuit)")</f>
        <v xml:space="preserve"> </v>
      </c>
      <c r="G13" s="180"/>
      <c r="H13" s="39">
        <f>IF((E11)&lt;12/24,0/24,(E11)-12/24)</f>
        <v>0</v>
      </c>
    </row>
    <row r="14" spans="1:10" ht="17" customHeight="1">
      <c r="A14" s="34" t="str">
        <f>CHOOSE(WEEKDAY(A6+3,2),"LUNDI","MARDI","MERCREDI","JEUDI","VENDREDI","SAMEDI","DIMANCHE")</f>
        <v>JEUDI</v>
      </c>
      <c r="B14" s="86" t="str">
        <f>IF(OR(C14&lt;&gt;0, C15 &lt;&gt;0,), IF(MOD(C15-C14, 1) &lt; 0.041, "(pause réduite)", ""), "")</f>
        <v/>
      </c>
      <c r="C14" s="107">
        <v>0</v>
      </c>
      <c r="D14" s="66"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7">
        <v>0</v>
      </c>
    </row>
    <row r="15" spans="1:10" ht="17.25" customHeight="1">
      <c r="A15" s="65">
        <f>IF(A12&lt;&gt; "", (IF(DATE(YEAR(A12),MONTH(A12),DAY(A12))&lt;DATE(YEAR(D3),MONTH(D3),DAY(D3)),DATE(YEAR(D2),MONTH(D2),(DAY(D2)+3)), "")), "")</f>
        <v>43987</v>
      </c>
      <c r="B15" s="15" t="str">
        <f>IF(E15="", "","(journée continue)")</f>
        <v/>
      </c>
      <c r="C15" s="187">
        <f>IF(OR(AND(D14=0/24, D15=0/24,), AND(C14=0/24, D15=0/24), (MOD(D15-C14,24) =D15)), 0/24, C14+1/24)</f>
        <v>0</v>
      </c>
      <c r="D15" s="66">
        <v>0</v>
      </c>
      <c r="E15" s="188" t="str">
        <f>IF(SUM(D16,E16)=0/24,"",SUM(D16,E16))</f>
        <v/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79"/>
      <c r="H15" s="173"/>
    </row>
    <row r="16" spans="1:10" ht="17.25" customHeight="1">
      <c r="A16" s="70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3">
        <f>IF(C14 = C15, (MOD(D15-D14,1)),0)</f>
        <v>0</v>
      </c>
      <c r="D16" s="67">
        <f>IF(C14=0 / 24,0,IF((MOD(C14-D14,1))&lt;6 / 24,0,0.34 / 24))</f>
        <v>0</v>
      </c>
      <c r="E16" s="40">
        <f>IF(C16&gt;=(6 / 24),0.34 / 24,(IF(C15 = C14, IF(MOD(D15-D14, 1) &lt;6/24, 0, 0.34/24), IF((MOD(D15-C15,1))&lt;6/24,0,0.34/24))))</f>
        <v>0</v>
      </c>
      <c r="F16" s="16" t="str">
        <f>IF(F15=" "," ","(minoration repas nuit)")</f>
        <v xml:space="preserve"> </v>
      </c>
      <c r="G16" s="18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6" t="str">
        <f>IF(OR(C17&lt;&gt;0, C18 &lt;&gt;0,), IF(MOD(C18-C17, 1) &lt; 0.041, "(pause réduite)", ""), "")</f>
        <v/>
      </c>
      <c r="C17" s="107">
        <v>0</v>
      </c>
      <c r="D17" s="66"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 11/24,0/24,11/24-(MOD(D17-D15,1))))))</f>
        <v>0</v>
      </c>
      <c r="H17" s="57">
        <v>0</v>
      </c>
    </row>
    <row r="18" spans="1:8" ht="17.25" customHeight="1">
      <c r="A18" s="65">
        <f>IF(A15&lt;&gt; "", (IF(DATE(YEAR(A15),MONTH(A15),DAY(A15))&lt;DATE(YEAR(D3),MONTH(D3),DAY(D3)),DATE(YEAR(D2),MONTH(D2),(DAY(D2)+4)), "")), "")</f>
        <v>43988</v>
      </c>
      <c r="B18" s="15" t="str">
        <f>IF(E18="", "","(journée continue)")</f>
        <v/>
      </c>
      <c r="C18" s="187">
        <f>IF(OR(AND(D17=0/24, D18=0/24,), AND(C17=0/24, D18=0/24), (MOD(D18-C17,24) =D18)), 0/24, C17+1/24)</f>
        <v>0</v>
      </c>
      <c r="D18" s="68">
        <v>0</v>
      </c>
      <c r="E18" s="188" t="str">
        <f>IF(SUM(D19,E19)=0/24,"",SUM(D19,E19))</f>
        <v/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79"/>
      <c r="H18" s="173"/>
    </row>
    <row r="19" spans="1:8" ht="17.25" customHeight="1">
      <c r="A19" s="70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3">
        <f>IF(C17 = C18, (MOD(D18-D17,1)),0)</f>
        <v>0</v>
      </c>
      <c r="D19" s="67">
        <f>IF(C17=0 / 24,0,IF((MOD(C17-D17,1))&lt;6 / 24,0,0.34 / 24))</f>
        <v>0</v>
      </c>
      <c r="E19" s="40">
        <f>IF(C19&gt;=(6 / 24),0.34 / 24,(IF(C17 = C18, IF(MOD(D18-D17, 1) &lt;6/24, 0, 0.34/24), IF((MOD(D18-C18,1))&lt;6/24,0,0.34/24))))</f>
        <v>0</v>
      </c>
      <c r="F19" s="16" t="str">
        <f>IF(F18=" "," ","(minoration repas nuit)")</f>
        <v xml:space="preserve"> </v>
      </c>
      <c r="G19" s="180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6" t="str">
        <f>IF(OR(C21&lt;&gt;0, C22 &lt;&gt;0,), IF(MOD(C21-C20, 1) &lt; 0.041, "(pause réduite)", ""), "")</f>
        <v/>
      </c>
      <c r="C20" s="107">
        <v>0</v>
      </c>
      <c r="D20" s="66"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 11/24,0/24,11/24-(MOD(D20-D18,1))))))</f>
        <v>0</v>
      </c>
      <c r="H20" s="57">
        <v>0</v>
      </c>
    </row>
    <row r="21" spans="1:8" ht="17.25" customHeight="1">
      <c r="A21" s="65">
        <f>IF(A18&lt;&gt; "", (IF(DATE(YEAR(A18),MONTH(A18),DAY(A18))&lt;DATE(YEAR(D3),MONTH(D3),DAY(D3)),DATE(YEAR(D2),MONTH(D2),(DAY(D2)+5)), "")), "")</f>
        <v>43989</v>
      </c>
      <c r="B21" s="15" t="str">
        <f>IF(E21="", "","(journée continue)")</f>
        <v/>
      </c>
      <c r="C21" s="187">
        <f>IF(OR(AND(D20=0/24, D21=0/24,), AND(C20=0/24, D21=0/24), (MOD(D21-C20,24) =D21)), 0/24, C20+1/24)</f>
        <v>0</v>
      </c>
      <c r="D21" s="66">
        <v>0</v>
      </c>
      <c r="E21" s="188" t="str">
        <f>IF(SUM(D22,E22)=0/24,"",SUM(D22,E22))</f>
        <v/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79"/>
      <c r="H21" s="175"/>
    </row>
    <row r="22" spans="1:8" ht="17.25" customHeight="1">
      <c r="A22" s="70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3">
        <f>IF(C20 = C21, (MOD(D21-D20,1)),0)</f>
        <v>0</v>
      </c>
      <c r="D22" s="67">
        <f>IF(C20=0 / 24,0,IF((MOD(C20-D20,1))&lt;6 / 24,0,0.34 / 24))</f>
        <v>0</v>
      </c>
      <c r="E22" s="40">
        <f>IF(C22&gt;=(6 / 24),0.34 / 24,(IF(C21 = C20, IF(MOD(D21-D20, 1) &lt;6/24, 0, 0.34/24), IF((MOD(D21-C21,1))&lt;6/24,0,0.34/24))))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6" t="str">
        <f>IF(OR(C24&lt;&gt;0, C25 &lt;&gt;0,), IF(MOD(C24-C23, 1) &lt; 0.041, "(pause réduite)", ""), "")</f>
        <v/>
      </c>
      <c r="C23" s="107">
        <v>0</v>
      </c>
      <c r="D23" s="66"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7">
        <v>0</v>
      </c>
    </row>
    <row r="24" spans="1:8" ht="17.25" customHeight="1">
      <c r="A24" s="65">
        <f>IF(A21&lt;&gt; "", (IF(DATE(YEAR(A21),MONTH(A21),DAY(A21))&lt;DATE(YEAR(D3),MONTH(D3),DAY(D3)),DATE(YEAR(D2),MONTH(D2),(DAY(D2)+6)), "")), "")</f>
        <v>43990</v>
      </c>
      <c r="B24" s="15" t="str">
        <f>IF(E24="", "","(journée continue)")</f>
        <v/>
      </c>
      <c r="C24" s="187">
        <f>IF(OR(AND(D23=0/24, D24=0/24,), AND(C23=0/24, D24=0/24), (MOD(D24-C23,24) =D24)), 0/24, C23+1/24)</f>
        <v>0</v>
      </c>
      <c r="D24" s="66">
        <v>0</v>
      </c>
      <c r="E24" s="188" t="str">
        <f>IF(SUM(D25,E25)=0/24,"",SUM(D25,E25))</f>
        <v/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75"/>
    </row>
    <row r="25" spans="1:8" ht="17.25" customHeight="1">
      <c r="A25" s="70">
        <f>IF(A24="", Deb, IF(A24&gt;DATE(YEAR(A24),3,20),IF(A24&lt;DATE(YEAR(A24),12,21),22 / 24,20 / 24),20 /24))</f>
        <v>0.91666666666666663</v>
      </c>
      <c r="B25" s="16" t="str">
        <f>IF(A24&lt;&gt;"",IF(A23="DIMANCHE",IF(E23 &gt; 0/24, "(majoration dimanche)", ""),""),"")</f>
        <v/>
      </c>
      <c r="C25" s="73">
        <f>IF(C23 = C24, (MOD(D24-D23,1)),0)</f>
        <v>0</v>
      </c>
      <c r="D25" s="67">
        <f>IF(C23=0 / 24,0,IF((MOD(C23-D23,1))&lt;6 / 24,0,0.34 / 24))</f>
        <v>0</v>
      </c>
      <c r="E25" s="40">
        <f>IF(C25&gt;=(6 / 24),0.34 / 24,(IF(C24 = C23, IF(MOD(D24-D23, 1) &lt;6/24, 0, 0.34/24), IF((MOD(D24-C24,1))&lt;6/24,0,0.34/24))))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59"/>
      <c r="C26" s="127"/>
      <c r="D26" s="128" t="s">
        <v>9</v>
      </c>
      <c r="E26" s="129">
        <f>SUM(E5,E6,E8,E9,E11,E12,E14,E15,E17,E18,E20,E21,E23,E24)</f>
        <v>0</v>
      </c>
      <c r="F26" s="129">
        <f>SUM(F5,F6,F8,F9,F11,F12,F14,F15,F17,F18,F20,F21,F23,F24)</f>
        <v>0</v>
      </c>
      <c r="G26" s="130">
        <f>SUM(G5,G8,G11,G14,G17,G20,G23)</f>
        <v>0</v>
      </c>
      <c r="H26" s="131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2">
        <f>IF(A6 = "", Fin, IF(A6&gt;DATE(YEAR(A6),3,20),IF(A6&lt;DATE(YEAR(A6),12,21),7 / 24,6 / 24),6 /24))</f>
        <v>0.29166666666666669</v>
      </c>
      <c r="B28" s="6"/>
      <c r="C28" s="6"/>
      <c r="D28" s="78" t="s">
        <v>10</v>
      </c>
      <c r="E28" s="30"/>
      <c r="F28" s="31" t="s">
        <v>11</v>
      </c>
      <c r="G28" s="31"/>
      <c r="H28" s="112"/>
    </row>
    <row r="29" spans="1:8" ht="17.25" customHeight="1">
      <c r="A29" s="132">
        <f>IF(A9= "", Fin, IF(A9&gt;DATE(YEAR(A9),3,20),IF(A9&lt;DATE(YEAR(A9),12,21),7 / 24,6 / 24),6 /24))</f>
        <v>0.29166666666666669</v>
      </c>
      <c r="B29" s="178"/>
      <c r="C29" s="6"/>
      <c r="D29" s="79" t="s">
        <v>52</v>
      </c>
      <c r="E29" s="17"/>
      <c r="F29" s="183">
        <v>1123.20151475545</v>
      </c>
      <c r="G29" s="18"/>
      <c r="H29" s="113"/>
    </row>
    <row r="30" spans="1:8" ht="17.25" customHeight="1" thickBot="1">
      <c r="A30" s="132">
        <f>IF(A12 = "", Fin, IF(A12&gt;DATE(YEAR(A12),3,20),IF(A12&lt;DATE(YEAR(A12),12,21),7 / 24,6 / 24),6 /24))</f>
        <v>0.29166666666666669</v>
      </c>
      <c r="B30" s="6"/>
      <c r="C30" s="6"/>
      <c r="D30" s="97" t="s">
        <v>12</v>
      </c>
      <c r="E30" s="98"/>
      <c r="F30" s="184">
        <f>+F29/35</f>
        <v>32.091471850155713</v>
      </c>
      <c r="G30" s="99"/>
      <c r="H30" s="114"/>
    </row>
    <row r="31" spans="1:8" s="3" customFormat="1" ht="17.25" customHeight="1">
      <c r="A31" s="133">
        <f>IF(A15 = "", Fin, IF(A15&gt;DATE(YEAR(A15),3,20),IF(A15&lt;DATE(YEAR(A15),12,21),7 / 24,6 / 24),6 /24))</f>
        <v>0.29166666666666669</v>
      </c>
      <c r="B31" s="9"/>
      <c r="C31" s="10"/>
      <c r="D31" s="80" t="s">
        <v>13</v>
      </c>
      <c r="E31" s="19">
        <f>IF(E26&gt;35 / 24,35 / 24,E26)</f>
        <v>0</v>
      </c>
      <c r="F31" s="87">
        <f>(F30*E31)*24</f>
        <v>0</v>
      </c>
      <c r="G31" s="87"/>
      <c r="H31" s="115"/>
    </row>
    <row r="32" spans="1:8" s="3" customFormat="1" ht="17.25" customHeight="1">
      <c r="A32" s="133">
        <f>IF(A18 = "", Fin, IF(A18&gt;DATE(YEAR(A18),3,20),IF(A18&lt;DATE(YEAR(A18),12,21),7 / 24,6 / 24),6 /24))</f>
        <v>0.29166666666666669</v>
      </c>
      <c r="B32" s="9"/>
      <c r="C32" s="32" t="s">
        <v>14</v>
      </c>
      <c r="D32" s="81" t="s">
        <v>15</v>
      </c>
      <c r="E32" s="20">
        <f>IF(E26&gt;35 / 24,IF(E26&lt;43 / 24,E26-35 / 24,8 / 24),0 / 24)</f>
        <v>0</v>
      </c>
      <c r="F32" s="88">
        <f>((F30*E32)*24)*1.25</f>
        <v>0</v>
      </c>
      <c r="G32" s="88"/>
      <c r="H32" s="116"/>
    </row>
    <row r="33" spans="1:8" s="3" customFormat="1" ht="17.25" customHeight="1">
      <c r="A33" s="133">
        <f>IF(A21 = "", Fin, IF(A21&gt;DATE(YEAR(A21),3,20),IF(A21&lt;DATE(YEAR(A21),12,21),7 / 24,6 / 24),6 /24))</f>
        <v>0.29166666666666669</v>
      </c>
      <c r="B33" s="9"/>
      <c r="C33" s="33" t="s">
        <v>16</v>
      </c>
      <c r="D33" s="82" t="s">
        <v>17</v>
      </c>
      <c r="E33" s="21">
        <f>IF(E26&gt;47 / 24,4 / 24,IF(E26&gt;43 / 24,E26-43 / 24,0 / 24))</f>
        <v>0</v>
      </c>
      <c r="F33" s="89">
        <f>((F30*E33)*24)*1.5</f>
        <v>0</v>
      </c>
      <c r="G33" s="89"/>
      <c r="H33" s="117"/>
    </row>
    <row r="34" spans="1:8" s="3" customFormat="1" ht="17.25" customHeight="1">
      <c r="A34" s="134">
        <f>IF(A24 = "", Fin, IF(A24&gt;DATE(YEAR(A24),3,20),IF(A24&lt;DATE(YEAR(A24),12,21),7 / 24,6 / 24),6 /24))</f>
        <v>0.29166666666666669</v>
      </c>
      <c r="B34" s="9"/>
      <c r="C34" s="32" t="s">
        <v>28</v>
      </c>
      <c r="D34" s="81" t="s">
        <v>17</v>
      </c>
      <c r="E34" s="20">
        <f>IF(E26&gt;47 / 24,E26- 47 / 24,0 /24)</f>
        <v>0</v>
      </c>
      <c r="F34" s="88">
        <f>((F30*E34)*24)*1.5</f>
        <v>0</v>
      </c>
      <c r="G34" s="88"/>
      <c r="H34" s="116"/>
    </row>
    <row r="35" spans="1:8" s="3" customFormat="1" ht="17.25" customHeight="1" thickBot="1">
      <c r="A35" s="8"/>
      <c r="B35" s="46"/>
      <c r="C35" s="11"/>
      <c r="D35" s="83" t="s">
        <v>18</v>
      </c>
      <c r="E35" s="22">
        <f>G25</f>
        <v>0</v>
      </c>
      <c r="F35" s="90">
        <f>(F30*E35)*24</f>
        <v>0</v>
      </c>
      <c r="G35" s="90"/>
      <c r="H35" s="118"/>
    </row>
    <row r="36" spans="1:8" s="3" customFormat="1" ht="17.25" customHeight="1">
      <c r="A36" s="8"/>
      <c r="B36" s="74" t="s">
        <v>19</v>
      </c>
      <c r="C36" s="41"/>
      <c r="D36" s="84" t="s">
        <v>20</v>
      </c>
      <c r="E36" s="23">
        <f>F26</f>
        <v>0</v>
      </c>
      <c r="F36" s="91">
        <f>((F30*E36)*24)*0.25</f>
        <v>0</v>
      </c>
      <c r="G36" s="91"/>
      <c r="H36" s="119"/>
    </row>
    <row r="37" spans="1:8" s="3" customFormat="1" ht="17.25" customHeight="1">
      <c r="A37" s="8"/>
      <c r="B37" s="75">
        <f>IF(D2&gt;DATE(YEAR(D2),3,20),IF(D2&lt;DATE(YEAR(D2),12,21),22/24,20/24),20/24)</f>
        <v>0.91666666666666663</v>
      </c>
      <c r="C37" s="13"/>
      <c r="D37" s="85" t="s">
        <v>21</v>
      </c>
      <c r="E37" s="24">
        <f>G26</f>
        <v>0</v>
      </c>
      <c r="F37" s="92">
        <f>((F30*E37)*24)*0.5</f>
        <v>0</v>
      </c>
      <c r="G37" s="92"/>
      <c r="H37" s="120"/>
    </row>
    <row r="38" spans="1:8" s="3" customFormat="1" ht="17.25" customHeight="1">
      <c r="A38" s="8"/>
      <c r="B38" s="76" t="s">
        <v>22</v>
      </c>
      <c r="C38" s="12"/>
      <c r="D38" s="84" t="s">
        <v>50</v>
      </c>
      <c r="E38" s="23">
        <f>H26</f>
        <v>0</v>
      </c>
      <c r="F38" s="91">
        <f>(F30*E38)*24</f>
        <v>0</v>
      </c>
      <c r="G38" s="91"/>
      <c r="H38" s="119"/>
    </row>
    <row r="39" spans="1:8" s="3" customFormat="1" ht="17.25" customHeight="1" thickBot="1">
      <c r="A39" s="123"/>
      <c r="B39" s="77">
        <f>IF(D2&gt;DATE(YEAR(D2),3,20),IF(D2&lt;DATE(YEAR(D2),12,21),7 / 24,6 / 24),6 /24)</f>
        <v>0.29166666666666669</v>
      </c>
      <c r="C39" s="13"/>
      <c r="D39" s="85" t="s">
        <v>24</v>
      </c>
      <c r="E39" s="24">
        <v>0</v>
      </c>
      <c r="F39" s="92">
        <f>(F30*E39)*24</f>
        <v>0</v>
      </c>
      <c r="G39" s="192"/>
      <c r="H39" s="192"/>
    </row>
    <row r="40" spans="1:8" ht="17.25" customHeight="1">
      <c r="A40" s="36" t="s">
        <v>23</v>
      </c>
      <c r="B40" s="6"/>
      <c r="C40" s="41"/>
      <c r="D40" s="189" t="s">
        <v>32</v>
      </c>
      <c r="E40" s="190">
        <f>IF(B7&lt;&gt;"",E5,IF(B10&lt;&gt;"",E8,IF(B13&lt;&gt;"",E11,IF(B16&lt;&gt;"",E14,IF(B19&lt;&gt;"",E17,IF(B22&lt;&gt;"",E20, IF(B25&lt;&gt;"",E23, 0)))))))</f>
        <v>0</v>
      </c>
      <c r="F40" s="91">
        <f>((F30*E40)*24)*0.5</f>
        <v>0</v>
      </c>
      <c r="G40" s="91"/>
      <c r="H40" s="119"/>
    </row>
    <row r="41" spans="1:8" ht="17" thickBot="1">
      <c r="A41" s="126" t="s">
        <v>25</v>
      </c>
      <c r="B41" s="124"/>
      <c r="C41" s="111"/>
      <c r="D41" s="85" t="str">
        <f>IF(E41&lt;=1, "JOURNEE CONTINUE", "JOURNEES CONTINUES")</f>
        <v>JOURNEE CONTINUE</v>
      </c>
      <c r="E41" s="193">
        <f>SUM(E21,E18,E15,E12,E9,E6, E24)/(0.34/24)</f>
        <v>0</v>
      </c>
      <c r="F41" s="191"/>
      <c r="G41" s="121"/>
      <c r="H41" s="122"/>
    </row>
    <row r="42" spans="1:8" ht="17" thickBot="1">
      <c r="A42" s="177"/>
      <c r="B42" s="160">
        <f>COUNTIF(E5,"&lt;&gt;0" )+COUNTIF(E8,"&lt;&gt;0")+COUNTIF(E11,"&lt;&gt;0")+COUNTIF(E14,"&lt;&gt;0")+COUNTIF(E17,"&lt;&gt;0")+COUNTIF(E20,"&lt;&gt;0")+COUNTIF(E23,"&lt;&gt;0")</f>
        <v>0</v>
      </c>
      <c r="C42" s="158" t="s">
        <v>56</v>
      </c>
      <c r="D42" s="93" t="s">
        <v>26</v>
      </c>
      <c r="E42" s="94">
        <f>IF(B42&gt;=5,IF(E26=0/24,0/24,IF(E26&lt;35/24,35/24,E26)),E26)</f>
        <v>0</v>
      </c>
      <c r="F42" s="185">
        <f>IF(E42=0/24,0,IF(E42&lt;35/24,SUM(F31:F40),IF(E42&gt;35/24,SUM(F31:F40),F29+SUM(F35:F40))))</f>
        <v>0</v>
      </c>
      <c r="G42" s="95"/>
      <c r="H42" s="9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CCDD-D5C1-46CD-ACCB-2D09FB33D174}">
  <sheetPr>
    <tabColor theme="6"/>
    <pageSetUpPr fitToPage="1"/>
  </sheetPr>
  <dimension ref="A1:H42"/>
  <sheetViews>
    <sheetView zoomScale="75" zoomScaleNormal="75" workbookViewId="0">
      <selection activeCell="D6" sqref="D6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3" t="str">
        <f>'1er Ass OPV'!B1</f>
        <v>"Production"</v>
      </c>
      <c r="C1" s="108"/>
      <c r="D1" s="64" t="str">
        <f>'1er Ass OPV'!D1</f>
        <v>Semaine N°</v>
      </c>
      <c r="E1" s="43" t="s">
        <v>1</v>
      </c>
      <c r="F1" s="53" t="str">
        <f>'1er Ass OPV'!F1</f>
        <v>Caméra</v>
      </c>
      <c r="G1" s="106"/>
      <c r="H1" s="37"/>
    </row>
    <row r="2" spans="1:8" ht="20" customHeight="1">
      <c r="A2" s="44" t="s">
        <v>30</v>
      </c>
      <c r="B2" s="54" t="str">
        <f>'1er Ass OPV'!B2</f>
        <v>"Film"</v>
      </c>
      <c r="C2" s="61" t="s">
        <v>47</v>
      </c>
      <c r="D2" s="63">
        <f>'1er Ass OPV'!D2</f>
        <v>43984</v>
      </c>
      <c r="E2" s="61" t="s">
        <v>3</v>
      </c>
      <c r="F2" s="54" t="s">
        <v>45</v>
      </c>
      <c r="G2" s="105"/>
      <c r="H2" s="62"/>
    </row>
    <row r="3" spans="1:8" ht="20" customHeight="1" thickBot="1">
      <c r="A3" s="44"/>
      <c r="B3" s="105"/>
      <c r="C3" s="61" t="s">
        <v>48</v>
      </c>
      <c r="D3" s="176">
        <f>D2+DAY(5)</f>
        <v>43990</v>
      </c>
      <c r="E3" s="45"/>
      <c r="F3" s="104"/>
      <c r="G3" s="104"/>
      <c r="H3" s="38"/>
    </row>
    <row r="4" spans="1:8" s="3" customFormat="1" ht="46.5" customHeight="1">
      <c r="A4" s="25" t="s">
        <v>4</v>
      </c>
      <c r="B4" s="26" t="s">
        <v>31</v>
      </c>
      <c r="C4" s="26" t="s">
        <v>53</v>
      </c>
      <c r="D4" s="28" t="s">
        <v>5</v>
      </c>
      <c r="E4" s="26" t="s">
        <v>6</v>
      </c>
      <c r="F4" s="27" t="s">
        <v>7</v>
      </c>
      <c r="G4" s="28" t="s">
        <v>49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7">
        <f>'1er Ass OPV'!C5</f>
        <v>0</v>
      </c>
      <c r="D5" s="66">
        <f>'1er Ass OPV'!D5</f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7">
        <f>'1er Ass OPV'!H5</f>
        <v>0</v>
      </c>
    </row>
    <row r="6" spans="1:8" ht="17.25" customHeight="1">
      <c r="A6" s="65">
        <f>D2</f>
        <v>43984</v>
      </c>
      <c r="B6" s="71" t="str">
        <f>IF(E6="", "","(journée continue)")</f>
        <v/>
      </c>
      <c r="C6" s="187">
        <f>IF(OR(AND(D5=0/24, D6=0/24,), AND(C5=0/24, D6=0/24), (MOD(D6-C5,24) =D6)), 0/24, C5+1/24)</f>
        <v>0</v>
      </c>
      <c r="D6" s="66">
        <f>'1er Ass OPV'!D6</f>
        <v>0</v>
      </c>
      <c r="E6" s="188" t="str">
        <f>IF(SUM(D7,E7)=0/24,"",SUM(D7,E7))</f>
        <v/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4"/>
      <c r="H6" s="172"/>
    </row>
    <row r="7" spans="1:8" ht="17.25" customHeight="1">
      <c r="A7" s="70">
        <f>IF(A6="", Deb, IF(A6&gt;DATE(YEAR(A6),3,20),IF(A6&lt;DATE(YEAR(A6),12,21),22 / 24,20 / 24),20 /24))</f>
        <v>0.91666666666666663</v>
      </c>
      <c r="B7" s="69" t="str">
        <f>IF(A6 &lt;&gt; "", IF(A5="DIMANCHE", "(majoration dimanche)", ""), "")</f>
        <v/>
      </c>
      <c r="C7" s="73">
        <f>IF(C6 = C5, (MOD(D6-D5,1)),0)</f>
        <v>0</v>
      </c>
      <c r="D7" s="67">
        <f>IF(C5=0 / 24,0,IF((MOD(C5-D5,1))&lt;6 / 24,0,0.34 / 24))</f>
        <v>0</v>
      </c>
      <c r="E7" s="40">
        <f>IF(C7&gt;=(6 / 24),0.34 / 24,(IF(C5 = C6, IF(MOD(D6-D5, 1) &lt;6/24, 0, 0.34/24), IF((MOD(D6-C6,1))&lt;6/24,0,0.34/24))))</f>
        <v>0</v>
      </c>
      <c r="F7" s="16" t="str">
        <f>IF(OR(F6=" ", F6=0)," ","(minoration repas nuit)")</f>
        <v xml:space="preserve"> </v>
      </c>
      <c r="G7" s="109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86" t="str">
        <f>IF(OR(C8&lt;&gt;0, C9 &lt;&gt;0,), IF(MOD(C9-C8, 1) &lt; 0.041, "(pause réduite)", ""), "")</f>
        <v/>
      </c>
      <c r="C8" s="107">
        <f>'1er Ass OPV'!C8</f>
        <v>0</v>
      </c>
      <c r="D8" s="66">
        <f>'1er Ass OPV'!D8</f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7">
        <f>'1er Ass OPV'!H8</f>
        <v>0</v>
      </c>
    </row>
    <row r="9" spans="1:8" ht="17.25" customHeight="1">
      <c r="A9" s="65">
        <f>IF(AND(DATE(YEAR(D2),MONTH(D2),DAY(D2))&lt;DATE(YEAR(D3),MONTH(D3),DAY(D3)), A6&lt;&gt;""),DATE(YEAR(D2),MONTH(D2),DAY(D2)+1),"")</f>
        <v>43985</v>
      </c>
      <c r="B9" s="15" t="str">
        <f>IF(E9="", "","(journée continue)")</f>
        <v/>
      </c>
      <c r="C9" s="187">
        <f>IF(OR(AND(D8=0/24, D9=0/24,), AND(C8=0/24, D9=0/24), (MOD(D9-C8,24) =D9)), 0/24, C8+1/24)</f>
        <v>0</v>
      </c>
      <c r="D9" s="66">
        <f>'1er Ass OPV'!D9</f>
        <v>0</v>
      </c>
      <c r="E9" s="188" t="str">
        <f>IF(SUM(D10,E10)=0/24,"",SUM(D10,E10))</f>
        <v/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4"/>
      <c r="H9" s="173"/>
    </row>
    <row r="10" spans="1:8" ht="17.25" customHeight="1">
      <c r="A10" s="70">
        <f>IF(A9="", Deb, IF(A9&gt;DATE(YEAR(A9),3,20),IF(A9&lt;DATE(YEAR(A9),12,21),22 / 24,20 / 24),20 /24))</f>
        <v>0.91666666666666663</v>
      </c>
      <c r="B10" s="69" t="str">
        <f>IF(A9 &lt;&gt; "", IF(A8="DIMANCHE", "(majoration dimanche)", ""), "")</f>
        <v/>
      </c>
      <c r="C10" s="73">
        <f>IF(C9 = C8, (MOD(D9-D8,1)),0)</f>
        <v>0</v>
      </c>
      <c r="D10" s="67">
        <f>IF(C8=0 / 24,0,IF((MOD(C8-D8,1))&lt;6 / 24,0,0.34 / 24))</f>
        <v>0</v>
      </c>
      <c r="E10" s="73">
        <f>IF(C10&gt;=(6 / 24),0.34 / 24,(IF(C8 = C9, IF(MOD(D9-D8, 1) &lt;6 /24, 0, 0.34/24), IF((MOD(D9-C9,1))&lt;6/24,0,0.34/24))))</f>
        <v>0</v>
      </c>
      <c r="F10" s="16" t="str">
        <f>IF(F9=" "," ","(minoration repas nuit)")</f>
        <v xml:space="preserve"> </v>
      </c>
      <c r="G10" s="10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86" t="str">
        <f>IF(OR(C11&lt;&gt;0, C12 &lt;&gt;0,), IF(MOD(C12-C11, 1) &lt; 0.041, "(pause réduite)", ""), "")</f>
        <v/>
      </c>
      <c r="C11" s="107">
        <f>'1er Ass OPV'!C11</f>
        <v>0</v>
      </c>
      <c r="D11" s="66">
        <f>'1er Ass OPV'!D11</f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7">
        <f>'1er Ass OPV'!H11</f>
        <v>0</v>
      </c>
    </row>
    <row r="12" spans="1:8" ht="17.25" customHeight="1">
      <c r="A12" s="65">
        <f>IF(AND(DATE(YEAR(A9),MONTH(A9),DAY(A9))&lt;DATE(YEAR(D3),MONTH(D3),DAY(D3)), A9&lt;&gt;""),DATE(YEAR(D2),MONTH(D2),DAY(D2)+2), "")</f>
        <v>43986</v>
      </c>
      <c r="B12" s="15" t="str">
        <f>IF(E12="", "","(journée continue)")</f>
        <v/>
      </c>
      <c r="C12" s="187">
        <f>IF(OR(AND(D11=0/24, D12=0/24,), AND(C11=0/24, D12=0/24), (MOD(D12-C11,24) =D12)), 0/24, C11+1/24)</f>
        <v>0</v>
      </c>
      <c r="D12" s="66">
        <f>'1er Ass OPV'!D12</f>
        <v>0</v>
      </c>
      <c r="E12" s="188" t="str">
        <f>IF(SUM(D13,E13)=0/24,"",SUM(D13,E13))</f>
        <v/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4"/>
      <c r="H12" s="174"/>
    </row>
    <row r="13" spans="1:8" ht="17.25" customHeight="1">
      <c r="A13" s="70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3">
        <f>IF(C12 = C11, (MOD(D12-D11,1)),0)</f>
        <v>0</v>
      </c>
      <c r="D13" s="67">
        <f>IF(C11=0 / 24,0,IF((MOD(C11-D11,1))&lt;6 / 24,0,0.34 / 24))</f>
        <v>0</v>
      </c>
      <c r="E13" s="40">
        <f>IF(C13&gt;=(6 / 24),0.34 / 24,(IF(C11 = C12, IF(MOD(D12-D11, 1) &lt;6/24, 0, 0.34/24), IF((MOD(D12-C12,1))&lt;6/24,0,0.34/24))))</f>
        <v>0</v>
      </c>
      <c r="F13" s="16" t="str">
        <f>IF(F12=" "," ","(minoration repas nuit)")</f>
        <v xml:space="preserve"> </v>
      </c>
      <c r="G13" s="110"/>
      <c r="H13" s="39">
        <f>IF((E11)&lt;12/24,0/24,(E11)-12/24)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86" t="str">
        <f>IF(OR(C14&lt;&gt;0, C15 &lt;&gt;0,), IF(MOD(C15-C14, 1) &lt; 0.041, "(pause réduite)", ""), "")</f>
        <v/>
      </c>
      <c r="C14" s="107">
        <f>'1er Ass OPV'!C14</f>
        <v>0</v>
      </c>
      <c r="D14" s="66">
        <f>'1er Ass OPV'!D14</f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7">
        <f>'1er Ass OPV'!H14</f>
        <v>0</v>
      </c>
    </row>
    <row r="15" spans="1:8" ht="17.25" customHeight="1">
      <c r="A15" s="65">
        <f>IF(A12&lt;&gt; "", (IF(DATE(YEAR(A12),MONTH(A12),DAY(A12))&lt;DATE(YEAR(D3),MONTH(D3),DAY(D3)),DATE(YEAR(D2),MONTH(D2),(DAY(D2)+3)), "")), "")</f>
        <v>43987</v>
      </c>
      <c r="B15" s="15" t="str">
        <f>IF(E15="", "","(journée continue)")</f>
        <v/>
      </c>
      <c r="C15" s="187">
        <f>IF(OR(AND(D14=0/24, D15=0/24,), AND(C14=0/24, D15=0/24), (MOD(D15-C14,24) =D15)), 0/24, C14+1/24)</f>
        <v>0</v>
      </c>
      <c r="D15" s="66">
        <f>'1er Ass OPV'!D15</f>
        <v>0</v>
      </c>
      <c r="E15" s="188" t="str">
        <f>IF(SUM(D16,E16)=0/24,"",SUM(D16,E16))</f>
        <v/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4"/>
      <c r="H15" s="173"/>
    </row>
    <row r="16" spans="1:8" ht="17.25" customHeight="1">
      <c r="A16" s="70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3">
        <f>IF(C14 = C15, (MOD(D15-D14,1)),0)</f>
        <v>0</v>
      </c>
      <c r="D16" s="67">
        <f>IF(C14=0 / 24,0,IF((MOD(C14-D14,1))&lt;6 / 24,0,0.34 / 24))</f>
        <v>0</v>
      </c>
      <c r="E16" s="40">
        <f>IF(C16&gt;=(6 / 24),0.34 / 24,(IF(C15 = C14, IF(MOD(D15-D14, 1) &lt;6/24, 0, 0.34/24), IF((MOD(D15-C15,1))&lt;6/24,0,0.34/24))))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6" t="str">
        <f>IF(OR(C17&lt;&gt;0, C18 &lt;&gt;0,), IF(MOD(C18-C17, 1) &lt; 0.041, "(pause réduite)", ""), "")</f>
        <v/>
      </c>
      <c r="C17" s="107">
        <f>'1er Ass OPV'!C17</f>
        <v>0</v>
      </c>
      <c r="D17" s="66">
        <f>'1er Ass OPV'!D17</f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7">
        <f>'1er Ass OPV'!H17</f>
        <v>0</v>
      </c>
    </row>
    <row r="18" spans="1:8" ht="17.25" customHeight="1">
      <c r="A18" s="65">
        <f>IF(A15&lt;&gt; "", (IF(DATE(YEAR(A15),MONTH(A15),DAY(A15))&lt;DATE(YEAR(D3),MONTH(D3),DAY(D3)),DATE(YEAR(D2),MONTH(D2),(DAY(D2)+4)), "")), "")</f>
        <v>43988</v>
      </c>
      <c r="B18" s="15" t="str">
        <f>IF(E18="", "","(journée continue)")</f>
        <v/>
      </c>
      <c r="C18" s="187">
        <f>IF(OR(AND(D17=0/24, D18=0/24,), AND(C17=0/24, D18=0/24), (MOD(D18-C17,24) =D18)), 0/24, C17+1/24)</f>
        <v>0</v>
      </c>
      <c r="D18" s="66">
        <f>'1er Ass OPV'!D18</f>
        <v>0</v>
      </c>
      <c r="E18" s="188" t="str">
        <f>IF(SUM(D19,E19)=0/24,"",SUM(D19,E19))</f>
        <v/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4"/>
      <c r="H18" s="173"/>
    </row>
    <row r="19" spans="1:8" ht="17.25" customHeight="1">
      <c r="A19" s="70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3">
        <f>IF(C17 = C18, (MOD(D18-D17,1)),0)</f>
        <v>0</v>
      </c>
      <c r="D19" s="67">
        <f>IF(C17=0 / 24,0,IF((MOD(C17-D17,1))&lt;6 / 24,0,0.34 / 24))</f>
        <v>0</v>
      </c>
      <c r="E19" s="40">
        <f>IF(C19&gt;=(6 / 24),0.34 / 24,(IF(C17 = C18, IF(MOD(D18-D17, 1) &lt;6/24, 0, 0.34/24), IF((MOD(D18-C18,1))&lt;6/24,0,0.34/24))))</f>
        <v>0</v>
      </c>
      <c r="F19" s="16" t="str">
        <f>IF(F18=" "," ","(minoration repas nuit)")</f>
        <v xml:space="preserve"> </v>
      </c>
      <c r="G19" s="72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6" t="str">
        <f>IF(OR(C21&lt;&gt;0, C22 &lt;&gt;0,), IF(MOD(C21-C20, 1) &lt; 0.041, "(pause réduite)", ""), "")</f>
        <v/>
      </c>
      <c r="C20" s="107">
        <f>'1er Ass OPV'!C20</f>
        <v>0</v>
      </c>
      <c r="D20" s="66">
        <f>'1er Ass OPV'!D20</f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7">
        <f>'1er Ass OPV'!H20</f>
        <v>0</v>
      </c>
    </row>
    <row r="21" spans="1:8" ht="17.25" customHeight="1">
      <c r="A21" s="65">
        <f>IF(A18&lt;&gt; "", (IF(DATE(YEAR(A18),MONTH(A18),DAY(A18))&lt;DATE(YEAR(D3),MONTH(D3),DAY(D3)),DATE(YEAR(D2),MONTH(D2),(DAY(D2)+5)), "")), "")</f>
        <v>43989</v>
      </c>
      <c r="B21" s="15" t="str">
        <f>IF(E21="", "","(journée continue)")</f>
        <v/>
      </c>
      <c r="C21" s="187">
        <f>IF(OR(AND(D20=0/24, D21=0/24,), AND(C20=0/24, D21=0/24), (MOD(D21-C20,24) =D21)), 0/24, C20+1/24)</f>
        <v>0</v>
      </c>
      <c r="D21" s="66">
        <f>'1er Ass OPV'!D21</f>
        <v>0</v>
      </c>
      <c r="E21" s="188" t="str">
        <f>IF(SUM(D22,E22)=0/24,"",SUM(D22,E22))</f>
        <v/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4"/>
      <c r="H21" s="175"/>
    </row>
    <row r="22" spans="1:8" ht="17.25" customHeight="1">
      <c r="A22" s="70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3">
        <f>IF(C20 = C21, (MOD(D21-D20,1)),0)</f>
        <v>0</v>
      </c>
      <c r="D22" s="67">
        <f>IF(C20=0 / 24,0,IF((MOD(C20-D20,1))&lt;6 / 24,0,0.34 / 24))</f>
        <v>0</v>
      </c>
      <c r="E22" s="40">
        <f>IF(C22&gt;=(6 / 24),0.34 / 24,(IF(C21 = C20, IF(MOD(D21-D20, 1) &lt;6/24, 0, 0.34/24), IF((MOD(D21-C21,1))&lt;6/24,0,0.34/24))))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6" t="str">
        <f>IF(OR(C24&lt;&gt;0, C25 &lt;&gt;0,), IF(MOD(C24-C23, 1) &lt; 0.041, "(pause réduite)", ""), "")</f>
        <v/>
      </c>
      <c r="C23" s="107">
        <f>'1er Ass OPV'!C23</f>
        <v>0</v>
      </c>
      <c r="D23" s="66">
        <f>'1er Ass OPV'!D23</f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7">
        <f>'1er Ass OPV'!H23</f>
        <v>0</v>
      </c>
    </row>
    <row r="24" spans="1:8" ht="17.25" customHeight="1">
      <c r="A24" s="65">
        <f>IF(A21&lt;&gt; "", (IF(DATE(YEAR(A21),MONTH(A21),DAY(A21))&lt;DATE(YEAR(D3),MONTH(D3),DAY(D3)),DATE(YEAR(D2),MONTH(D2),(DAY(D2)+6)), "")), "")</f>
        <v>43990</v>
      </c>
      <c r="B24" s="15" t="str">
        <f>IF(E24="", "","(journée continue)")</f>
        <v/>
      </c>
      <c r="C24" s="187">
        <f>IF(OR(AND(D23=0/24, D24=0/24,), AND(C23=0/24, D24=0/24), (MOD(D24-C23,24) =D24)), 0/24, C23+1/24)</f>
        <v>0</v>
      </c>
      <c r="D24" s="66">
        <f>'1er Ass OPV'!D24</f>
        <v>0</v>
      </c>
      <c r="E24" s="188" t="str">
        <f>IF(SUM(D25,E25)=0/24,"",SUM(D25,E25))</f>
        <v/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75"/>
    </row>
    <row r="25" spans="1:8" ht="17.25" customHeight="1">
      <c r="A25" s="70">
        <f>IF(A24="", Deb, IF(A24&gt;DATE(YEAR(A24),3,20),IF(A24&lt;DATE(YEAR(A24),12,21),22 / 24,20 / 24),20 /24))</f>
        <v>0.91666666666666663</v>
      </c>
      <c r="B25" s="16" t="str">
        <f>IF(A24&lt;&gt;"",IF(A23="DIMANCHE",IF(E23 &gt; 0/24, "(majoration dimanche)", ""),""),"")</f>
        <v/>
      </c>
      <c r="C25" s="73">
        <f>IF(C23 = C24, (MOD(D24-D23,1)),0)</f>
        <v>0</v>
      </c>
      <c r="D25" s="67">
        <f>IF(C23=0 / 24,0,IF((MOD(C23-D23,1))&lt;6 / 24,0,0.34 / 24))</f>
        <v>0</v>
      </c>
      <c r="E25" s="40">
        <f>IF(C25&gt;=(6 / 24),0.34 / 24,(IF(C24 = C23, IF(MOD(D24-D23, 1) &lt;6/24, 0, 0.34/24), IF((MOD(D24-C24,1))&lt;6/24,0,0.34/24))))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59"/>
      <c r="C26" s="127"/>
      <c r="D26" s="128" t="s">
        <v>9</v>
      </c>
      <c r="E26" s="129">
        <f>SUM(E5,E6,E8,E9,E11,E12,E14,E15,E17,E18,E20,E21,E23,E24)</f>
        <v>0</v>
      </c>
      <c r="F26" s="129">
        <f>SUM(F5,F6,F8,F9,F11,F12,F14,F15,F17,F18,F20,F21,F23,F24)</f>
        <v>0</v>
      </c>
      <c r="G26" s="130">
        <f>SUM(G5,G8,G11,G14,G17,G20,G23)</f>
        <v>0</v>
      </c>
      <c r="H26" s="131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2">
        <f>IF(A6 = "", Fin, IF(A6&gt;DATE(YEAR(A6),3,20),IF(A6&lt;DATE(YEAR(A6),12,21),7 / 24,6 / 24),6 /24))</f>
        <v>0.29166666666666669</v>
      </c>
      <c r="B28" s="6"/>
      <c r="C28" s="6"/>
      <c r="D28" s="78" t="s">
        <v>10</v>
      </c>
      <c r="E28" s="30"/>
      <c r="F28" s="31" t="s">
        <v>27</v>
      </c>
      <c r="G28" s="31"/>
      <c r="H28" s="112"/>
    </row>
    <row r="29" spans="1:8" ht="17.25" customHeight="1">
      <c r="A29" s="132">
        <f>IF(A9= "", Fin, IF(A9&gt;DATE(YEAR(A9),3,20),IF(A9&lt;DATE(YEAR(A9),12,21),7 / 24,6 / 24),6 /24))</f>
        <v>0.29166666666666669</v>
      </c>
      <c r="B29" s="6"/>
      <c r="C29" s="6"/>
      <c r="D29" s="79" t="s">
        <v>52</v>
      </c>
      <c r="E29" s="17"/>
      <c r="F29" s="183">
        <v>902.600446583956</v>
      </c>
      <c r="G29" s="18"/>
      <c r="H29" s="113"/>
    </row>
    <row r="30" spans="1:8" ht="17.25" customHeight="1" thickBot="1">
      <c r="A30" s="132">
        <f>IF(A12 = "", Fin, IF(A12&gt;DATE(YEAR(A12),3,20),IF(A12&lt;DATE(YEAR(A12),12,21),7 / 24,6 / 24),6 /24))</f>
        <v>0.29166666666666669</v>
      </c>
      <c r="B30" s="6"/>
      <c r="C30" s="6"/>
      <c r="D30" s="97" t="s">
        <v>12</v>
      </c>
      <c r="E30" s="98"/>
      <c r="F30" s="184">
        <f>+F29/35</f>
        <v>25.788584188113028</v>
      </c>
      <c r="G30" s="99"/>
      <c r="H30" s="114"/>
    </row>
    <row r="31" spans="1:8" s="3" customFormat="1" ht="17.25" customHeight="1">
      <c r="A31" s="133">
        <f>IF(A15 = "", Fin, IF(A15&gt;DATE(YEAR(A15),3,20),IF(A15&lt;DATE(YEAR(A15),12,21),7 / 24,6 / 24),6 /24))</f>
        <v>0.29166666666666669</v>
      </c>
      <c r="B31" s="9"/>
      <c r="C31" s="10"/>
      <c r="D31" s="80" t="s">
        <v>13</v>
      </c>
      <c r="E31" s="19">
        <f>IF(E26&gt;35 / 24,35 / 24,E26)</f>
        <v>0</v>
      </c>
      <c r="F31" s="87">
        <f>(F30*E31)*24</f>
        <v>0</v>
      </c>
      <c r="G31" s="87"/>
      <c r="H31" s="115"/>
    </row>
    <row r="32" spans="1:8" s="3" customFormat="1" ht="17.25" customHeight="1">
      <c r="A32" s="133">
        <f>IF(A18 = "", Fin, IF(A18&gt;DATE(YEAR(A18),3,20),IF(A18&lt;DATE(YEAR(A18),12,21),7 / 24,6 / 24),6 /24))</f>
        <v>0.29166666666666669</v>
      </c>
      <c r="B32" s="9"/>
      <c r="C32" s="32" t="s">
        <v>14</v>
      </c>
      <c r="D32" s="81" t="s">
        <v>15</v>
      </c>
      <c r="E32" s="20">
        <f>IF(E26&gt;35 / 24,IF(E26&lt;43 / 24,E26-35 / 24,8 / 24),0 / 24)</f>
        <v>0</v>
      </c>
      <c r="F32" s="88">
        <f>((F30*E32)*24)*1.25</f>
        <v>0</v>
      </c>
      <c r="G32" s="88"/>
      <c r="H32" s="116"/>
    </row>
    <row r="33" spans="1:8" s="3" customFormat="1" ht="17.25" customHeight="1">
      <c r="A33" s="133">
        <f>IF(A21 = "", Fin, IF(A21&gt;DATE(YEAR(A21),3,20),IF(A21&lt;DATE(YEAR(A21),12,21),7 / 24,6 / 24),6 /24))</f>
        <v>0.29166666666666669</v>
      </c>
      <c r="B33" s="9"/>
      <c r="C33" s="33" t="s">
        <v>16</v>
      </c>
      <c r="D33" s="82" t="s">
        <v>17</v>
      </c>
      <c r="E33" s="21">
        <f>IF(E26&gt;47 / 24,4 / 24,IF(E26&gt;43 / 24,E26-43 / 24,0 / 24))</f>
        <v>0</v>
      </c>
      <c r="F33" s="89">
        <f>((F30*E33)*24)*1.5</f>
        <v>0</v>
      </c>
      <c r="G33" s="89"/>
      <c r="H33" s="117"/>
    </row>
    <row r="34" spans="1:8" s="3" customFormat="1" ht="17.25" customHeight="1">
      <c r="A34" s="134">
        <f>IF(A24 = "", Fin, IF(A24&gt;DATE(YEAR(A24),3,20),IF(A24&lt;DATE(YEAR(A24),12,21),7 / 24,6 / 24),6 /24))</f>
        <v>0.29166666666666669</v>
      </c>
      <c r="B34" s="9"/>
      <c r="C34" s="32" t="s">
        <v>28</v>
      </c>
      <c r="D34" s="81" t="s">
        <v>17</v>
      </c>
      <c r="E34" s="20">
        <f>IF(E26&gt;47 / 24,E26- 47 / 24,0 /24)</f>
        <v>0</v>
      </c>
      <c r="F34" s="88">
        <f>((F30*E34)*24)*1.5</f>
        <v>0</v>
      </c>
      <c r="G34" s="88"/>
      <c r="H34" s="116"/>
    </row>
    <row r="35" spans="1:8" s="3" customFormat="1" ht="17.25" customHeight="1" thickBot="1">
      <c r="A35" s="8"/>
      <c r="B35" s="46"/>
      <c r="C35" s="11"/>
      <c r="D35" s="83" t="s">
        <v>18</v>
      </c>
      <c r="E35" s="22">
        <f>G25</f>
        <v>0</v>
      </c>
      <c r="F35" s="90">
        <f>(F30*E35)*24</f>
        <v>0</v>
      </c>
      <c r="G35" s="90"/>
      <c r="H35" s="118"/>
    </row>
    <row r="36" spans="1:8" s="3" customFormat="1" ht="17.25" customHeight="1">
      <c r="A36" s="8"/>
      <c r="B36" s="74" t="s">
        <v>19</v>
      </c>
      <c r="C36" s="41"/>
      <c r="D36" s="84" t="s">
        <v>20</v>
      </c>
      <c r="E36" s="23">
        <f>F26</f>
        <v>0</v>
      </c>
      <c r="F36" s="91">
        <f>((F30*E36)*24)*0.25</f>
        <v>0</v>
      </c>
      <c r="G36" s="91"/>
      <c r="H36" s="119"/>
    </row>
    <row r="37" spans="1:8" s="3" customFormat="1" ht="17.25" customHeight="1">
      <c r="A37" s="8"/>
      <c r="B37" s="75">
        <f>IF(D2&gt;DATE(YEAR(D2),3,20),IF(D2&lt;DATE(YEAR(D2),12,21),22/24,20/24),20/24)</f>
        <v>0.91666666666666663</v>
      </c>
      <c r="C37" s="13"/>
      <c r="D37" s="85" t="s">
        <v>21</v>
      </c>
      <c r="E37" s="24">
        <f>G26</f>
        <v>0</v>
      </c>
      <c r="F37" s="92">
        <f>((F30*E37)*24)*0.5</f>
        <v>0</v>
      </c>
      <c r="G37" s="92"/>
      <c r="H37" s="120"/>
    </row>
    <row r="38" spans="1:8" s="3" customFormat="1" ht="17.25" customHeight="1">
      <c r="A38" s="8"/>
      <c r="B38" s="76" t="s">
        <v>22</v>
      </c>
      <c r="C38" s="12"/>
      <c r="D38" s="84" t="s">
        <v>50</v>
      </c>
      <c r="E38" s="23">
        <f>H26</f>
        <v>0</v>
      </c>
      <c r="F38" s="91">
        <f>(F30*E38)*24</f>
        <v>0</v>
      </c>
      <c r="G38" s="91"/>
      <c r="H38" s="119"/>
    </row>
    <row r="39" spans="1:8" s="3" customFormat="1" ht="17.25" customHeight="1" thickBot="1">
      <c r="A39" s="123"/>
      <c r="B39" s="77">
        <f>IF(D2&gt;DATE(YEAR(D2),3,20),IF(D2&lt;DATE(YEAR(D2),12,21),7 / 24,6 / 24),6 /24)</f>
        <v>0.29166666666666669</v>
      </c>
      <c r="C39" s="13"/>
      <c r="D39" s="85" t="s">
        <v>24</v>
      </c>
      <c r="E39" s="24">
        <v>0</v>
      </c>
      <c r="F39" s="92">
        <f>(F30*E39)*24</f>
        <v>0</v>
      </c>
      <c r="G39" s="92"/>
      <c r="H39" s="120"/>
    </row>
    <row r="40" spans="1:8" ht="17.25" customHeight="1">
      <c r="A40" s="36" t="s">
        <v>23</v>
      </c>
      <c r="B40" s="6"/>
      <c r="C40" s="41"/>
      <c r="D40" s="189" t="s">
        <v>32</v>
      </c>
      <c r="E40" s="190">
        <f>IF(B7&lt;&gt;"",E5,IF(B10&lt;&gt;"",E8,IF(B13&lt;&gt;"",E11,IF(B16&lt;&gt;"",E14,IF(B19&lt;&gt;"",E17,IF(B22&lt;&gt;"",E20, IF(B25&lt;&gt;"",E23, 0)))))))</f>
        <v>0</v>
      </c>
      <c r="F40" s="91">
        <f>((F30*E40)*24)*0.5</f>
        <v>0</v>
      </c>
      <c r="G40" s="91"/>
      <c r="H40" s="119"/>
    </row>
    <row r="41" spans="1:8" ht="17" thickBot="1">
      <c r="A41" s="126" t="s">
        <v>25</v>
      </c>
      <c r="B41" s="124"/>
      <c r="C41" s="111"/>
      <c r="D41" s="85" t="str">
        <f>IF(E41&lt;=1, "JOURNEE CONTINUE", "JOURNEES CONTINUES")</f>
        <v>JOURNEE CONTINUE</v>
      </c>
      <c r="E41" s="193">
        <f>SUM(E21,E18,E15,E12,E9,E6, E24)/(0.34/24)</f>
        <v>0</v>
      </c>
      <c r="F41" s="191"/>
      <c r="G41" s="121"/>
      <c r="H41" s="122"/>
    </row>
    <row r="42" spans="1:8" ht="17" thickBot="1">
      <c r="A42" s="125"/>
      <c r="B42" s="160">
        <f>COUNTIF(E5,"&lt;&gt;0" )+COUNTIF(E8,"&lt;&gt;0")+COUNTIF(E11,"&lt;&gt;0")+COUNTIF(E14,"&lt;&gt;0")+COUNTIF(E17,"&lt;&gt;0")+COUNTIF(E20,"&lt;&gt;0")+COUNTIF(E23,"&lt;&gt;0")</f>
        <v>0</v>
      </c>
      <c r="C42" s="158" t="s">
        <v>56</v>
      </c>
      <c r="D42" s="93" t="s">
        <v>26</v>
      </c>
      <c r="E42" s="94">
        <f>IF(B42&gt;=5,IF(E26=0/24,0/24,IF(E26&lt;35/24,35/24,E26)),E26)</f>
        <v>0</v>
      </c>
      <c r="F42" s="185">
        <f>IF(E42=0/24,0,IF(E42&lt;35/24,SUM(F31:F41),IF(E42&gt;35/24,SUM(F31:F41),F29+SUM(F35:F41))))</f>
        <v>0</v>
      </c>
      <c r="G42" s="95"/>
      <c r="H42" s="9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DD16-AF1B-4BAC-9532-5101062BA50A}">
  <sheetPr>
    <tabColor theme="5"/>
    <pageSetUpPr fitToPage="1"/>
  </sheetPr>
  <dimension ref="A1:H42"/>
  <sheetViews>
    <sheetView zoomScale="75" zoomScaleNormal="75" workbookViewId="0">
      <selection activeCell="D6" sqref="D6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3" t="str">
        <f>'1er Ass OPV'!B1</f>
        <v>"Production"</v>
      </c>
      <c r="C1" s="108"/>
      <c r="D1" s="64" t="str">
        <f>'1er Ass OPV'!D1</f>
        <v>Semaine N°</v>
      </c>
      <c r="E1" s="43" t="s">
        <v>1</v>
      </c>
      <c r="F1" s="53" t="str">
        <f>'1er Ass OPV'!F1</f>
        <v>Caméra</v>
      </c>
      <c r="G1" s="106"/>
      <c r="H1" s="37"/>
    </row>
    <row r="2" spans="1:8" ht="20" customHeight="1">
      <c r="A2" s="44" t="s">
        <v>30</v>
      </c>
      <c r="B2" s="54" t="str">
        <f>'1er Ass OPV'!B2</f>
        <v>"Film"</v>
      </c>
      <c r="C2" s="61" t="s">
        <v>47</v>
      </c>
      <c r="D2" s="63">
        <f>'1er Ass OPV'!D2</f>
        <v>43984</v>
      </c>
      <c r="E2" s="61" t="s">
        <v>3</v>
      </c>
      <c r="F2" s="54" t="s">
        <v>45</v>
      </c>
      <c r="G2" s="105"/>
      <c r="H2" s="62"/>
    </row>
    <row r="3" spans="1:8" ht="20" customHeight="1" thickBot="1">
      <c r="A3" s="44"/>
      <c r="B3" s="105"/>
      <c r="C3" s="61" t="s">
        <v>48</v>
      </c>
      <c r="D3" s="176">
        <f>D2+DAY(5)</f>
        <v>43990</v>
      </c>
      <c r="E3" s="45"/>
      <c r="F3" s="104"/>
      <c r="G3" s="104"/>
      <c r="H3" s="38"/>
    </row>
    <row r="4" spans="1:8" s="3" customFormat="1" ht="46.5" customHeight="1">
      <c r="A4" s="25" t="s">
        <v>4</v>
      </c>
      <c r="B4" s="26" t="s">
        <v>31</v>
      </c>
      <c r="C4" s="26" t="s">
        <v>53</v>
      </c>
      <c r="D4" s="28" t="s">
        <v>5</v>
      </c>
      <c r="E4" s="26" t="s">
        <v>6</v>
      </c>
      <c r="F4" s="27" t="s">
        <v>7</v>
      </c>
      <c r="G4" s="28" t="s">
        <v>49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7">
        <f>'1er Ass OPV'!C5</f>
        <v>0</v>
      </c>
      <c r="D5" s="66">
        <f>'1er Ass OPV'!D5</f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7">
        <f>'1er Ass OPV'!H5</f>
        <v>0</v>
      </c>
    </row>
    <row r="6" spans="1:8" ht="17.25" customHeight="1">
      <c r="A6" s="65">
        <f>D2</f>
        <v>43984</v>
      </c>
      <c r="B6" s="71" t="str">
        <f>IF(E6="", "","(journée continue)")</f>
        <v/>
      </c>
      <c r="C6" s="187">
        <f>IF(OR(AND(D5=0/24, D6=0/24,), AND(C5=0/24, D6=0/24), (MOD(D6-C5,24) =D6)), 0/24, C5+1/24)</f>
        <v>0</v>
      </c>
      <c r="D6" s="66">
        <f>'1er Ass OPV'!D6</f>
        <v>0</v>
      </c>
      <c r="E6" s="188" t="str">
        <f>IF(SUM(D7,E7)=0/24,"",SUM(D7,E7))</f>
        <v/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4"/>
      <c r="H6" s="172"/>
    </row>
    <row r="7" spans="1:8" ht="17.25" customHeight="1">
      <c r="A7" s="70">
        <f>IF(A6="", Deb, IF(A6&gt;DATE(YEAR(A6),3,20),IF(A6&lt;DATE(YEAR(A6),12,21),22 / 24,20 / 24),20 /24))</f>
        <v>0.91666666666666663</v>
      </c>
      <c r="B7" s="69" t="str">
        <f>IF(A6 &lt;&gt; "", IF(A5="DIMANCHE", "(majoration dimanche)", ""), "")</f>
        <v/>
      </c>
      <c r="C7" s="73">
        <f>IF(C6 = C5, (MOD(D6-D5,1)),0)</f>
        <v>0</v>
      </c>
      <c r="D7" s="67">
        <f>IF(C5=0 / 24,0,IF((MOD(C5-D5,1))&lt;6 / 24,0,0.34 / 24))</f>
        <v>0</v>
      </c>
      <c r="E7" s="40">
        <f>IF(C7&gt;=(6 / 24),0.34 / 24,(IF(C5 = C6, IF(MOD(D6-D5, 1) &lt;6/24, 0, 0.34/24), IF((MOD(D6-C6,1))&lt;6/24,0,0.34/24))))</f>
        <v>0</v>
      </c>
      <c r="F7" s="16" t="str">
        <f>IF(OR(F6=" ", F6=0)," ","(minoration repas nuit)")</f>
        <v xml:space="preserve"> </v>
      </c>
      <c r="G7" s="109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86" t="str">
        <f>IF(OR(C8&lt;&gt;0, C9 &lt;&gt;0,), IF(MOD(C9-C8, 1) &lt; 0.041, "(pause réduite)", ""), "")</f>
        <v/>
      </c>
      <c r="C8" s="107">
        <f>'1er Ass OPV'!C8</f>
        <v>0</v>
      </c>
      <c r="D8" s="66">
        <f>'1er Ass OPV'!D8</f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7">
        <f>'1er Ass OPV'!H8</f>
        <v>0</v>
      </c>
    </row>
    <row r="9" spans="1:8" ht="17.25" customHeight="1">
      <c r="A9" s="65">
        <f>IF(AND(DATE(YEAR(D2),MONTH(D2),DAY(D2))&lt;DATE(YEAR(D3),MONTH(D3),DAY(D3)), A6&lt;&gt;""),DATE(YEAR(D2),MONTH(D2),DAY(D2)+1),"")</f>
        <v>43985</v>
      </c>
      <c r="B9" s="15" t="str">
        <f>IF(E9="", "","(journée continue)")</f>
        <v/>
      </c>
      <c r="C9" s="187">
        <f>IF(OR(AND(D8=0/24, D9=0/24,), AND(C8=0/24, D9=0/24), (MOD(D9-C8,24) =D9)), 0/24, C8+1/24)</f>
        <v>0</v>
      </c>
      <c r="D9" s="66">
        <f>'1er Ass OPV'!D9</f>
        <v>0</v>
      </c>
      <c r="E9" s="188" t="str">
        <f>IF(SUM(D10,E10)=0/24,"",SUM(D10,E10))</f>
        <v/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4"/>
      <c r="H9" s="173"/>
    </row>
    <row r="10" spans="1:8" ht="17.25" customHeight="1">
      <c r="A10" s="70">
        <f>IF(A9="", Deb, IF(A9&gt;DATE(YEAR(A9),3,20),IF(A9&lt;DATE(YEAR(A9),12,21),22 / 24,20 / 24),20 /24))</f>
        <v>0.91666666666666663</v>
      </c>
      <c r="B10" s="69" t="str">
        <f>IF(A9 &lt;&gt; "", IF(A8="DIMANCHE", "(majoration dimanche)", ""), "")</f>
        <v/>
      </c>
      <c r="C10" s="73">
        <f>IF(C9 = C8, (MOD(D9-D8,1)),0)</f>
        <v>0</v>
      </c>
      <c r="D10" s="67">
        <f>IF(C8=0 / 24,0,IF((MOD(C8-D8,1))&lt;6 / 24,0,0.34 / 24))</f>
        <v>0</v>
      </c>
      <c r="E10" s="73">
        <f>IF(C10&gt;=(6 / 24),0.34 / 24,(IF(C8 = C9, IF(MOD(D9-D8, 1) &lt;6 /24, 0, 0.34/24), IF((MOD(D9-C9,1))&lt;6/24,0,0.34/24))))</f>
        <v>0</v>
      </c>
      <c r="F10" s="16" t="str">
        <f>IF(F9=" "," ","(minoration repas nuit)")</f>
        <v xml:space="preserve"> </v>
      </c>
      <c r="G10" s="10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86" t="str">
        <f>IF(OR(C11&lt;&gt;0, C12 &lt;&gt;0,), IF(MOD(C12-C11, 1) &lt; 0.041, "(pause réduite)", ""), "")</f>
        <v/>
      </c>
      <c r="C11" s="107">
        <f>'1er Ass OPV'!C11</f>
        <v>0</v>
      </c>
      <c r="D11" s="66">
        <f>'1er Ass OPV'!D11</f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7">
        <f>'1er Ass OPV'!H11</f>
        <v>0</v>
      </c>
    </row>
    <row r="12" spans="1:8" ht="17.25" customHeight="1">
      <c r="A12" s="65">
        <f>IF(AND(DATE(YEAR(A9),MONTH(A9),DAY(A9))&lt;DATE(YEAR(D3),MONTH(D3),DAY(D3)), A9&lt;&gt;""),DATE(YEAR(D2),MONTH(D2),DAY(D2)+2), "")</f>
        <v>43986</v>
      </c>
      <c r="B12" s="15" t="str">
        <f>IF(E12="", "","(journée continue)")</f>
        <v/>
      </c>
      <c r="C12" s="187">
        <f>IF(OR(AND(D11=0/24, D12=0/24,), AND(C11=0/24, D12=0/24), (MOD(D12-C11,24) =D12)), 0/24, C11+1/24)</f>
        <v>0</v>
      </c>
      <c r="D12" s="66">
        <f>'1er Ass OPV'!D12</f>
        <v>0</v>
      </c>
      <c r="E12" s="188" t="str">
        <f>IF(SUM(D13,E13)=0/24,"",SUM(D13,E13))</f>
        <v/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4"/>
      <c r="H12" s="174"/>
    </row>
    <row r="13" spans="1:8" ht="17.25" customHeight="1">
      <c r="A13" s="70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3">
        <f>IF(C12 = C11, (MOD(D12-D11,1)),0)</f>
        <v>0</v>
      </c>
      <c r="D13" s="67">
        <f>IF(C11=0 / 24,0,IF((MOD(C11-D11,1))&lt;6 / 24,0,0.34 / 24))</f>
        <v>0</v>
      </c>
      <c r="E13" s="40">
        <f>IF(C13&gt;=(6 / 24),0.34 / 24,(IF(C11 = C12, IF(MOD(D12-D11, 1) &lt;6/24, 0, 0.34/24), IF((MOD(D12-C12,1))&lt;6/24,0,0.34/24))))</f>
        <v>0</v>
      </c>
      <c r="F13" s="16" t="str">
        <f>IF(F12=" "," ","(minoration repas nuit)")</f>
        <v xml:space="preserve"> </v>
      </c>
      <c r="G13" s="110"/>
      <c r="H13" s="39">
        <f>IF((E11)&lt;12/24,0/24,(E11)-12/24)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86" t="str">
        <f>IF(OR(C14&lt;&gt;0, C15 &lt;&gt;0,), IF(MOD(C15-C14, 1) &lt; 0.041, "(pause réduite)", ""), "")</f>
        <v/>
      </c>
      <c r="C14" s="107">
        <f>'1er Ass OPV'!C14</f>
        <v>0</v>
      </c>
      <c r="D14" s="66">
        <f>'1er Ass OPV'!D14</f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7">
        <f>'1er Ass OPV'!H14</f>
        <v>0</v>
      </c>
    </row>
    <row r="15" spans="1:8" ht="17.25" customHeight="1">
      <c r="A15" s="65">
        <f>IF(A12&lt;&gt; "", (IF(DATE(YEAR(A12),MONTH(A12),DAY(A12))&lt;DATE(YEAR(D3),MONTH(D3),DAY(D3)),DATE(YEAR(D2),MONTH(D2),(DAY(D2)+3)), "")), "")</f>
        <v>43987</v>
      </c>
      <c r="B15" s="15" t="str">
        <f>IF(E15="", "","(journée continue)")</f>
        <v/>
      </c>
      <c r="C15" s="187">
        <f>IF(OR(AND(D14=0/24, D15=0/24,), AND(C14=0/24, D15=0/24), (MOD(D15-C14,24) =D15)), 0/24, C14+1/24)</f>
        <v>0</v>
      </c>
      <c r="D15" s="66">
        <f>'1er Ass OPV'!D15</f>
        <v>0</v>
      </c>
      <c r="E15" s="188" t="str">
        <f>IF(SUM(D16,E16)=0/24,"",SUM(D16,E16))</f>
        <v/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4"/>
      <c r="H15" s="173"/>
    </row>
    <row r="16" spans="1:8" ht="17.25" customHeight="1">
      <c r="A16" s="70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3">
        <f>IF(C14 = C15, (MOD(D15-D14,1)),0)</f>
        <v>0</v>
      </c>
      <c r="D16" s="67">
        <f>IF(C14=0 / 24,0,IF((MOD(C14-D14,1))&lt;6 / 24,0,0.34 / 24))</f>
        <v>0</v>
      </c>
      <c r="E16" s="40">
        <f>IF(C16&gt;=(6 / 24),0.34 / 24,(IF(C15 = C14, IF(MOD(D15-D14, 1) &lt;6/24, 0, 0.34/24), IF((MOD(D15-C15,1))&lt;6/24,0,0.34/24))))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6" t="str">
        <f>IF(OR(C17&lt;&gt;0, C18 &lt;&gt;0,), IF(MOD(C18-C17, 1) &lt; 0.041, "(pause réduite)", ""), "")</f>
        <v/>
      </c>
      <c r="C17" s="107">
        <f>'1er Ass OPV'!C17</f>
        <v>0</v>
      </c>
      <c r="D17" s="66">
        <f>'1er Ass OPV'!D17</f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7">
        <f>'1er Ass OPV'!H17</f>
        <v>0</v>
      </c>
    </row>
    <row r="18" spans="1:8" ht="17.25" customHeight="1">
      <c r="A18" s="65">
        <f>IF(A15&lt;&gt; "", (IF(DATE(YEAR(A15),MONTH(A15),DAY(A15))&lt;DATE(YEAR(D3),MONTH(D3),DAY(D3)),DATE(YEAR(D2),MONTH(D2),(DAY(D2)+4)), "")), "")</f>
        <v>43988</v>
      </c>
      <c r="B18" s="15" t="str">
        <f>IF(E18="", "","(journée continue)")</f>
        <v/>
      </c>
      <c r="C18" s="187">
        <f>IF(OR(AND(D17=0/24, D18=0/24,), AND(C17=0/24, D18=0/24), (MOD(D18-C17,24) =D18)), 0/24, C17+1/24)</f>
        <v>0</v>
      </c>
      <c r="D18" s="66">
        <f>'1er Ass OPV'!D18</f>
        <v>0</v>
      </c>
      <c r="E18" s="188" t="str">
        <f>IF(SUM(D19,E19)=0/24,"",SUM(D19,E19))</f>
        <v/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4"/>
      <c r="H18" s="173"/>
    </row>
    <row r="19" spans="1:8" ht="17.25" customHeight="1">
      <c r="A19" s="70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3">
        <f>IF(C17 = C18, (MOD(D18-D17,1)),0)</f>
        <v>0</v>
      </c>
      <c r="D19" s="67">
        <f>IF(C17=0 / 24,0,IF((MOD(C17-D17,1))&lt;6 / 24,0,0.34 / 24))</f>
        <v>0</v>
      </c>
      <c r="E19" s="40">
        <f>IF(C19&gt;=(6 / 24),0.34 / 24,(IF(C17 = C18, IF(MOD(D18-D17, 1) &lt;6/24, 0, 0.34/24), IF((MOD(D18-C18,1))&lt;6/24,0,0.34/24))))</f>
        <v>0</v>
      </c>
      <c r="F19" s="16" t="str">
        <f>IF(F18=" "," ","(minoration repas nuit)")</f>
        <v xml:space="preserve"> </v>
      </c>
      <c r="G19" s="72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6" t="str">
        <f>IF(OR(C21&lt;&gt;0, C22 &lt;&gt;0,), IF(MOD(C21-C20, 1) &lt; 0.041, "(pause réduite)", ""), "")</f>
        <v/>
      </c>
      <c r="C20" s="107">
        <f>'1er Ass OPV'!C20</f>
        <v>0</v>
      </c>
      <c r="D20" s="66">
        <f>'1er Ass OPV'!D20</f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7">
        <f>'1er Ass OPV'!H20</f>
        <v>0</v>
      </c>
    </row>
    <row r="21" spans="1:8" ht="17.25" customHeight="1">
      <c r="A21" s="65">
        <f>IF(A18&lt;&gt; "", (IF(DATE(YEAR(A18),MONTH(A18),DAY(A18))&lt;DATE(YEAR(D3),MONTH(D3),DAY(D3)),DATE(YEAR(D2),MONTH(D2),(DAY(D2)+5)), "")), "")</f>
        <v>43989</v>
      </c>
      <c r="B21" s="15" t="str">
        <f>IF(E21="", "","(journée continue)")</f>
        <v/>
      </c>
      <c r="C21" s="187">
        <f>IF(OR(AND(D20=0/24, D21=0/24,), AND(C20=0/24, D21=0/24), (MOD(D21-C20,24) =D21)), 0/24, C20+1/24)</f>
        <v>0</v>
      </c>
      <c r="D21" s="66">
        <f>'1er Ass OPV'!D21</f>
        <v>0</v>
      </c>
      <c r="E21" s="188" t="str">
        <f>IF(SUM(D22,E22)=0/24,"",SUM(D22,E22))</f>
        <v/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4"/>
      <c r="H21" s="175"/>
    </row>
    <row r="22" spans="1:8" ht="17.25" customHeight="1">
      <c r="A22" s="70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3">
        <f>IF(C20 = C21, (MOD(D21-D20,1)),0)</f>
        <v>0</v>
      </c>
      <c r="D22" s="67">
        <f>IF(C20=0 / 24,0,IF((MOD(C20-D20,1))&lt;6 / 24,0,0.34 / 24))</f>
        <v>0</v>
      </c>
      <c r="E22" s="40">
        <f>IF(C22&gt;=(6 / 24),0.34 / 24,(IF(C21 = C20, IF(MOD(D21-D20, 1) &lt;6/24, 0, 0.34/24), IF((MOD(D21-C21,1))&lt;6/24,0,0.34/24))))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6" t="str">
        <f>IF(OR(C24&lt;&gt;0, C25 &lt;&gt;0,), IF(MOD(C24-C23, 1) &lt; 0.041, "(pause réduite)", ""), "")</f>
        <v/>
      </c>
      <c r="C23" s="107">
        <f>'1er Ass OPV'!C23</f>
        <v>0</v>
      </c>
      <c r="D23" s="66">
        <f>'1er Ass OPV'!D23</f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7">
        <f>'1er Ass OPV'!H23</f>
        <v>0</v>
      </c>
    </row>
    <row r="24" spans="1:8" ht="17.25" customHeight="1">
      <c r="A24" s="65">
        <f>IF(A21&lt;&gt; "", (IF(DATE(YEAR(A21),MONTH(A21),DAY(A21))&lt;DATE(YEAR(D3),MONTH(D3),DAY(D3)),DATE(YEAR(D2),MONTH(D2),(DAY(D2)+6)), "")), "")</f>
        <v>43990</v>
      </c>
      <c r="B24" s="15" t="str">
        <f>IF(E24="", "","(journée continue)")</f>
        <v/>
      </c>
      <c r="C24" s="187">
        <f>IF(OR(AND(D23=0/24, D24=0/24,), AND(C23=0/24, D24=0/24), (MOD(D24-C23,24) =D24)), 0/24, C23+1/24)</f>
        <v>0</v>
      </c>
      <c r="D24" s="66">
        <f>'1er Ass OPV'!D24</f>
        <v>0</v>
      </c>
      <c r="E24" s="188" t="str">
        <f>IF(SUM(D25,E25)=0/24,"",SUM(D25,E25))</f>
        <v/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75"/>
    </row>
    <row r="25" spans="1:8" ht="17.25" customHeight="1">
      <c r="A25" s="70">
        <f>IF(A24="", Deb, IF(A24&gt;DATE(YEAR(A24),3,20),IF(A24&lt;DATE(YEAR(A24),12,21),22 / 24,20 / 24),20 /24))</f>
        <v>0.91666666666666663</v>
      </c>
      <c r="B25" s="16" t="str">
        <f>IF(A24&lt;&gt;"",IF(A23="DIMANCHE",IF(E23 &gt; 0/24, "(majoration dimanche)", ""),""),"")</f>
        <v/>
      </c>
      <c r="C25" s="73">
        <f>IF(C23 = C24, (MOD(D24-D23,1)),0)</f>
        <v>0</v>
      </c>
      <c r="D25" s="67">
        <f>IF(C23=0 / 24,0,IF((MOD(C23-D23,1))&lt;6 / 24,0,0.34 / 24))</f>
        <v>0</v>
      </c>
      <c r="E25" s="40">
        <f>IF(C25&gt;=(6 / 24),0.34 / 24,(IF(C24 = C23, IF(MOD(D24-D23, 1) &lt;6/24, 0, 0.34/24), IF((MOD(D24-C24,1))&lt;6/24,0,0.34/24))))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59"/>
      <c r="C26" s="127"/>
      <c r="D26" s="128" t="s">
        <v>9</v>
      </c>
      <c r="E26" s="129">
        <f>SUM(E5,E6,E8,E9,E11,E12,E14,E15,E17,E18,E20,E21,E23,E24)</f>
        <v>0</v>
      </c>
      <c r="F26" s="129">
        <f>SUM(F5,F6,F8,F9,F11,F12,F14,F15,F17,F18,F20,F21,F23,F24)</f>
        <v>0</v>
      </c>
      <c r="G26" s="130">
        <f>SUM(G5,G8,G11,G14,G17,G20,G23)</f>
        <v>0</v>
      </c>
      <c r="H26" s="131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2">
        <f>IF(A6 = "", Fin, IF(A6&gt;DATE(YEAR(A6),3,20),IF(A6&lt;DATE(YEAR(A6),12,21),7 / 24,6 / 24),6 /24))</f>
        <v>0.29166666666666669</v>
      </c>
      <c r="B28" s="6"/>
      <c r="C28" s="6"/>
      <c r="D28" s="78" t="s">
        <v>10</v>
      </c>
      <c r="E28" s="30"/>
      <c r="F28" s="31" t="s">
        <v>33</v>
      </c>
      <c r="G28" s="31"/>
      <c r="H28" s="112"/>
    </row>
    <row r="29" spans="1:8" ht="17.25" customHeight="1">
      <c r="A29" s="132">
        <f>IF(A9= "", Fin, IF(A9&gt;DATE(YEAR(A9),3,20),IF(A9&lt;DATE(YEAR(A9),12,21),7 / 24,6 / 24),6 /24))</f>
        <v>0.29166666666666669</v>
      </c>
      <c r="B29" s="6"/>
      <c r="C29" s="6"/>
      <c r="D29" s="79" t="s">
        <v>52</v>
      </c>
      <c r="E29" s="17"/>
      <c r="F29" s="183">
        <v>463.28472749999997</v>
      </c>
      <c r="G29" s="18"/>
      <c r="H29" s="113"/>
    </row>
    <row r="30" spans="1:8" ht="17.25" customHeight="1" thickBot="1">
      <c r="A30" s="132">
        <f>IF(A12 = "", Fin, IF(A12&gt;DATE(YEAR(A12),3,20),IF(A12&lt;DATE(YEAR(A12),12,21),7 / 24,6 / 24),6 /24))</f>
        <v>0.29166666666666669</v>
      </c>
      <c r="B30" s="6"/>
      <c r="C30" s="6"/>
      <c r="D30" s="97" t="s">
        <v>12</v>
      </c>
      <c r="E30" s="98"/>
      <c r="F30" s="184">
        <f>+F29/35</f>
        <v>13.236706499999999</v>
      </c>
      <c r="G30" s="99"/>
      <c r="H30" s="114"/>
    </row>
    <row r="31" spans="1:8" s="3" customFormat="1" ht="17.25" customHeight="1">
      <c r="A31" s="133">
        <f>IF(A15 = "", Fin, IF(A15&gt;DATE(YEAR(A15),3,20),IF(A15&lt;DATE(YEAR(A15),12,21),7 / 24,6 / 24),6 /24))</f>
        <v>0.29166666666666669</v>
      </c>
      <c r="B31" s="9"/>
      <c r="C31" s="10"/>
      <c r="D31" s="80" t="s">
        <v>13</v>
      </c>
      <c r="E31" s="19">
        <f>IF(E26&gt;35 / 24,35 / 24,E26)</f>
        <v>0</v>
      </c>
      <c r="F31" s="87">
        <f>(F30*E31)*24</f>
        <v>0</v>
      </c>
      <c r="G31" s="87"/>
      <c r="H31" s="115"/>
    </row>
    <row r="32" spans="1:8" s="3" customFormat="1" ht="17.25" customHeight="1">
      <c r="A32" s="133">
        <f>IF(A18 = "", Fin, IF(A18&gt;DATE(YEAR(A18),3,20),IF(A18&lt;DATE(YEAR(A18),12,21),7 / 24,6 / 24),6 /24))</f>
        <v>0.29166666666666669</v>
      </c>
      <c r="B32" s="9"/>
      <c r="C32" s="32" t="s">
        <v>14</v>
      </c>
      <c r="D32" s="81" t="s">
        <v>15</v>
      </c>
      <c r="E32" s="20">
        <f>IF(E26&gt;35 / 24,IF(E26&lt;43 / 24,E26-35 / 24,8 / 24),0 / 24)</f>
        <v>0</v>
      </c>
      <c r="F32" s="88">
        <f>((F30*E32)*24)*1.25</f>
        <v>0</v>
      </c>
      <c r="G32" s="88"/>
      <c r="H32" s="116"/>
    </row>
    <row r="33" spans="1:8" s="3" customFormat="1" ht="17.25" customHeight="1">
      <c r="A33" s="133">
        <f>IF(A21 = "", Fin, IF(A21&gt;DATE(YEAR(A21),3,20),IF(A21&lt;DATE(YEAR(A21),12,21),7 / 24,6 / 24),6 /24))</f>
        <v>0.29166666666666669</v>
      </c>
      <c r="B33" s="9"/>
      <c r="C33" s="33" t="s">
        <v>16</v>
      </c>
      <c r="D33" s="82" t="s">
        <v>17</v>
      </c>
      <c r="E33" s="21">
        <f>IF(E26&gt;47 / 24,4 / 24,IF(E26&gt;43 / 24,E26-43 / 24,0 / 24))</f>
        <v>0</v>
      </c>
      <c r="F33" s="89">
        <f>((F30*E33)*24)*1.5</f>
        <v>0</v>
      </c>
      <c r="G33" s="89"/>
      <c r="H33" s="117"/>
    </row>
    <row r="34" spans="1:8" s="3" customFormat="1" ht="17.25" customHeight="1">
      <c r="A34" s="134">
        <f>IF(A24 = "", Fin, IF(A24&gt;DATE(YEAR(A24),3,20),IF(A24&lt;DATE(YEAR(A24),12,21),7 / 24,6 / 24),6 /24))</f>
        <v>0.29166666666666669</v>
      </c>
      <c r="B34" s="9"/>
      <c r="C34" s="32" t="s">
        <v>28</v>
      </c>
      <c r="D34" s="81" t="s">
        <v>17</v>
      </c>
      <c r="E34" s="20">
        <f>IF(E26&gt;47 / 24,E26- 47 / 24,0 /24)</f>
        <v>0</v>
      </c>
      <c r="F34" s="88">
        <f>((F30*E34)*24)*1.5</f>
        <v>0</v>
      </c>
      <c r="G34" s="88"/>
      <c r="H34" s="116"/>
    </row>
    <row r="35" spans="1:8" s="3" customFormat="1" ht="17.25" customHeight="1" thickBot="1">
      <c r="A35" s="8"/>
      <c r="B35" s="46"/>
      <c r="C35" s="11"/>
      <c r="D35" s="83" t="s">
        <v>18</v>
      </c>
      <c r="E35" s="22">
        <f>G25</f>
        <v>0</v>
      </c>
      <c r="F35" s="90">
        <f>(F30*E35)*24</f>
        <v>0</v>
      </c>
      <c r="G35" s="90"/>
      <c r="H35" s="118"/>
    </row>
    <row r="36" spans="1:8" s="3" customFormat="1" ht="17.25" customHeight="1">
      <c r="A36" s="8"/>
      <c r="B36" s="74" t="s">
        <v>19</v>
      </c>
      <c r="C36" s="41"/>
      <c r="D36" s="84" t="s">
        <v>20</v>
      </c>
      <c r="E36" s="23">
        <f>F26</f>
        <v>0</v>
      </c>
      <c r="F36" s="91">
        <f>((F30*E36)*24)*0.25</f>
        <v>0</v>
      </c>
      <c r="G36" s="91"/>
      <c r="H36" s="119"/>
    </row>
    <row r="37" spans="1:8" s="3" customFormat="1" ht="17.25" customHeight="1">
      <c r="A37" s="8"/>
      <c r="B37" s="75">
        <f>IF(D2&gt;DATE(YEAR(D2),3,20),IF(D2&lt;DATE(YEAR(D2),12,21),22/24,20/24),20/24)</f>
        <v>0.91666666666666663</v>
      </c>
      <c r="C37" s="13"/>
      <c r="D37" s="85" t="s">
        <v>21</v>
      </c>
      <c r="E37" s="24">
        <f>G26</f>
        <v>0</v>
      </c>
      <c r="F37" s="92">
        <f>((F30*E37)*24)*0.5</f>
        <v>0</v>
      </c>
      <c r="G37" s="92"/>
      <c r="H37" s="120"/>
    </row>
    <row r="38" spans="1:8" s="3" customFormat="1" ht="17.25" customHeight="1">
      <c r="A38" s="8"/>
      <c r="B38" s="76" t="s">
        <v>22</v>
      </c>
      <c r="C38" s="12"/>
      <c r="D38" s="84" t="s">
        <v>50</v>
      </c>
      <c r="E38" s="23">
        <f>H26</f>
        <v>0</v>
      </c>
      <c r="F38" s="91">
        <f>(F30*E38)*24</f>
        <v>0</v>
      </c>
      <c r="G38" s="91"/>
      <c r="H38" s="119"/>
    </row>
    <row r="39" spans="1:8" s="3" customFormat="1" ht="17.25" customHeight="1" thickBot="1">
      <c r="A39" s="123"/>
      <c r="B39" s="77">
        <f>IF(D2&gt;DATE(YEAR(D2),3,20),IF(D2&lt;DATE(YEAR(D2),12,21),7 / 24,6 / 24),6 /24)</f>
        <v>0.29166666666666669</v>
      </c>
      <c r="C39" s="13"/>
      <c r="D39" s="85" t="s">
        <v>24</v>
      </c>
      <c r="E39" s="24">
        <v>0</v>
      </c>
      <c r="F39" s="92">
        <f>(F30*E39)*24</f>
        <v>0</v>
      </c>
      <c r="G39" s="92"/>
      <c r="H39" s="120"/>
    </row>
    <row r="40" spans="1:8" ht="17.25" customHeight="1">
      <c r="A40" s="36" t="s">
        <v>23</v>
      </c>
      <c r="B40" s="6"/>
      <c r="C40" s="41"/>
      <c r="D40" s="189" t="s">
        <v>32</v>
      </c>
      <c r="E40" s="190">
        <f>IF(B7&lt;&gt;"",E5,IF(B10&lt;&gt;"",E8,IF(B13&lt;&gt;"",E11,IF(B16&lt;&gt;"",E14,IF(B19&lt;&gt;"",E17,IF(B22&lt;&gt;"",E20, IF(B25&lt;&gt;"",E23, 0)))))))</f>
        <v>0</v>
      </c>
      <c r="F40" s="91">
        <f>((F30*E40)*24)*0.5</f>
        <v>0</v>
      </c>
      <c r="G40" s="91"/>
      <c r="H40" s="119"/>
    </row>
    <row r="41" spans="1:8" ht="17" thickBot="1">
      <c r="A41" s="126" t="s">
        <v>25</v>
      </c>
      <c r="B41" s="124"/>
      <c r="C41" s="111"/>
      <c r="D41" s="85" t="str">
        <f>IF(E41&lt;=1, "JOURNEE CONTINUE", "JOURNEES CONTINUES")</f>
        <v>JOURNEE CONTINUE</v>
      </c>
      <c r="E41" s="193">
        <f>SUM(E21,E18,E15,E12,E9,E6, E24)/(0.34/24)</f>
        <v>0</v>
      </c>
      <c r="F41" s="191"/>
      <c r="G41" s="121"/>
      <c r="H41" s="122"/>
    </row>
    <row r="42" spans="1:8" ht="17" thickBot="1">
      <c r="A42" s="125"/>
      <c r="B42" s="160">
        <f>COUNTIF(E5,"&lt;&gt;0" )+COUNTIF(E8,"&lt;&gt;0")+COUNTIF(E11,"&lt;&gt;0")+COUNTIF(E14,"&lt;&gt;0")+COUNTIF(E17,"&lt;&gt;0")+COUNTIF(E20,"&lt;&gt;0")+COUNTIF(E23,"&lt;&gt;0")</f>
        <v>0</v>
      </c>
      <c r="C42" s="158" t="s">
        <v>56</v>
      </c>
      <c r="D42" s="93" t="s">
        <v>26</v>
      </c>
      <c r="E42" s="94">
        <f>IF(B42&gt;=5,IF(E26=0/24,0/24,IF(E26&lt;35/24,35/24,E26)),E26)</f>
        <v>0</v>
      </c>
      <c r="F42" s="185">
        <f>IF(E42=0/24,0,IF(E42&lt;35/24,SUM(F31:F41),IF(E42&gt;35/24,SUM(F31:F41),F29+SUM(F35:F41))))</f>
        <v>0</v>
      </c>
      <c r="G42" s="95"/>
      <c r="H42" s="9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 OPV</vt:lpstr>
      <vt:lpstr>2nd Ass OPV</vt:lpstr>
      <vt:lpstr>Ass OPV Adj</vt:lpstr>
      <vt:lpstr>'1er Ass OPV'!Deb</vt:lpstr>
      <vt:lpstr>'2nd Ass OPV'!Deb</vt:lpstr>
      <vt:lpstr>'Ass OPV Adj'!Deb</vt:lpstr>
      <vt:lpstr>'1er Ass OPV'!Fin</vt:lpstr>
      <vt:lpstr>'2nd Ass OPV'!Fin</vt:lpstr>
      <vt:lpstr>'Ass OPV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2024-10-27T18:13:27Z</dcterms:modified>
  <cp:category/>
  <cp:contentStatus/>
</cp:coreProperties>
</file>