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12E3DA86-52ED-484B-976B-8260F05CD4F1}" xr6:coauthVersionLast="36" xr6:coauthVersionMax="36" xr10:uidLastSave="{00000000-0000-0000-0000-000000000000}"/>
  <bookViews>
    <workbookView xWindow="8100" yWindow="1760" windowWidth="37180" windowHeight="18220" activeTab="1" xr2:uid="{00000000-000D-0000-FFFF-FFFF00000000}"/>
  </bookViews>
  <sheets>
    <sheet name="Notice" sheetId="5" r:id="rId1"/>
    <sheet name="1er Ass" sheetId="11" r:id="rId2"/>
    <sheet name="2nd Ass" sheetId="1" r:id="rId3"/>
    <sheet name="Tech Retour Image" sheetId="12" r:id="rId4"/>
  </sheets>
  <definedNames>
    <definedName name="Deb" localSheetId="1">'1er Ass'!$B$37</definedName>
    <definedName name="Deb" localSheetId="3">'Tech Retour Image'!$B$37</definedName>
    <definedName name="Deb">'2nd Ass'!$B$37</definedName>
    <definedName name="Fin" localSheetId="1">'1er Ass'!$B$39</definedName>
    <definedName name="Fin" localSheetId="3">'Tech Retour Image'!$B$39</definedName>
    <definedName name="Fin">'2nd Ass'!$B$39</definedName>
  </definedNames>
  <calcPr calcId="181029"/>
</workbook>
</file>

<file path=xl/calcChain.xml><?xml version="1.0" encoding="utf-8"?>
<calcChain xmlns="http://schemas.openxmlformats.org/spreadsheetml/2006/main">
  <c r="D2" i="11" l="1"/>
  <c r="B23" i="11"/>
  <c r="B23" i="1"/>
  <c r="B23" i="12"/>
  <c r="B20" i="12"/>
  <c r="B20" i="11"/>
  <c r="E27" i="12" l="1"/>
  <c r="D25" i="12"/>
  <c r="D24" i="12"/>
  <c r="H23" i="12"/>
  <c r="H26" i="12" s="1"/>
  <c r="E37" i="12" s="1"/>
  <c r="D23" i="12"/>
  <c r="C24" i="12" s="1"/>
  <c r="C23" i="12"/>
  <c r="D22" i="12"/>
  <c r="D21" i="12"/>
  <c r="H20" i="12"/>
  <c r="D20" i="12"/>
  <c r="G23" i="12" s="1"/>
  <c r="C20" i="12"/>
  <c r="D19" i="12"/>
  <c r="D18" i="12"/>
  <c r="H17" i="12"/>
  <c r="D17" i="12"/>
  <c r="C17" i="12"/>
  <c r="D15" i="12"/>
  <c r="H14" i="12"/>
  <c r="D14" i="12"/>
  <c r="D27" i="12" s="1"/>
  <c r="C14" i="12"/>
  <c r="D16" i="12" s="1"/>
  <c r="D13" i="12"/>
  <c r="D12" i="12"/>
  <c r="H11" i="12"/>
  <c r="D11" i="12"/>
  <c r="C12" i="12" s="1"/>
  <c r="C11" i="12"/>
  <c r="D9" i="12"/>
  <c r="H8" i="12"/>
  <c r="D8" i="12"/>
  <c r="C8" i="12"/>
  <c r="D10" i="12" s="1"/>
  <c r="D7" i="12"/>
  <c r="D6" i="12"/>
  <c r="A27" i="12" s="1"/>
  <c r="H5" i="12"/>
  <c r="D5" i="12"/>
  <c r="C5" i="12"/>
  <c r="E13" i="1"/>
  <c r="E16" i="1"/>
  <c r="E15" i="1" s="1"/>
  <c r="B15" i="1" s="1"/>
  <c r="E19" i="1"/>
  <c r="D25" i="1"/>
  <c r="D22" i="1"/>
  <c r="D19" i="1"/>
  <c r="D16" i="1"/>
  <c r="D13" i="1"/>
  <c r="D7" i="1"/>
  <c r="D12" i="1"/>
  <c r="D10" i="11"/>
  <c r="D13" i="11"/>
  <c r="D16" i="11"/>
  <c r="D19" i="11"/>
  <c r="D22" i="11"/>
  <c r="D25" i="11"/>
  <c r="E19" i="11"/>
  <c r="E16" i="11"/>
  <c r="D7" i="11"/>
  <c r="E18" i="1"/>
  <c r="B18" i="1" s="1"/>
  <c r="E18" i="11"/>
  <c r="E15" i="11"/>
  <c r="E37" i="1"/>
  <c r="B37" i="11"/>
  <c r="H26" i="11"/>
  <c r="C24" i="11"/>
  <c r="F24" i="11" s="1"/>
  <c r="F25" i="11" s="1"/>
  <c r="G23" i="11"/>
  <c r="C21" i="11"/>
  <c r="E20" i="11" s="1"/>
  <c r="H22" i="11" s="1"/>
  <c r="G20" i="11"/>
  <c r="H19" i="11"/>
  <c r="C19" i="11"/>
  <c r="F18" i="11"/>
  <c r="F19" i="11" s="1"/>
  <c r="C18" i="11"/>
  <c r="G17" i="11"/>
  <c r="E17" i="11"/>
  <c r="B17" i="11"/>
  <c r="F15" i="11"/>
  <c r="F16" i="11" s="1"/>
  <c r="C15" i="11"/>
  <c r="C16" i="11" s="1"/>
  <c r="G14" i="11"/>
  <c r="E14" i="11"/>
  <c r="H16" i="11" s="1"/>
  <c r="B14" i="11"/>
  <c r="C12" i="11"/>
  <c r="F12" i="11" s="1"/>
  <c r="F13" i="11" s="1"/>
  <c r="G11" i="11"/>
  <c r="C9" i="11"/>
  <c r="E8" i="11" s="1"/>
  <c r="H10" i="11" s="1"/>
  <c r="G8" i="11"/>
  <c r="C6" i="11"/>
  <c r="C7" i="11" s="1"/>
  <c r="E7" i="11" s="1"/>
  <c r="E6" i="11" s="1"/>
  <c r="A6" i="11"/>
  <c r="A14" i="11" s="1"/>
  <c r="D3" i="11"/>
  <c r="A5" i="11" l="1"/>
  <c r="A17" i="11"/>
  <c r="F27" i="12"/>
  <c r="C21" i="12"/>
  <c r="C6" i="12"/>
  <c r="E23" i="11"/>
  <c r="G11" i="12"/>
  <c r="B27" i="12"/>
  <c r="G8" i="12"/>
  <c r="C9" i="12"/>
  <c r="B8" i="12" s="1"/>
  <c r="E20" i="12"/>
  <c r="H22" i="12" s="1"/>
  <c r="F21" i="12"/>
  <c r="F22" i="12" s="1"/>
  <c r="F24" i="12"/>
  <c r="F25" i="12" s="1"/>
  <c r="C25" i="12"/>
  <c r="E25" i="12" s="1"/>
  <c r="E24" i="12" s="1"/>
  <c r="B24" i="12" s="1"/>
  <c r="F12" i="12"/>
  <c r="F13" i="12" s="1"/>
  <c r="B11" i="12"/>
  <c r="C13" i="12"/>
  <c r="E13" i="12" s="1"/>
  <c r="E12" i="12" s="1"/>
  <c r="B12" i="12" s="1"/>
  <c r="C15" i="12"/>
  <c r="E11" i="12"/>
  <c r="H13" i="12" s="1"/>
  <c r="G17" i="12"/>
  <c r="G14" i="12"/>
  <c r="C18" i="12"/>
  <c r="E23" i="12"/>
  <c r="E14" i="12"/>
  <c r="H16" i="12" s="1"/>
  <c r="C16" i="12"/>
  <c r="E16" i="12" s="1"/>
  <c r="E15" i="12" s="1"/>
  <c r="B15" i="12" s="1"/>
  <c r="G20" i="12"/>
  <c r="C27" i="12"/>
  <c r="H27" i="12" s="1"/>
  <c r="B26" i="12" s="1"/>
  <c r="G27" i="12"/>
  <c r="B14" i="12"/>
  <c r="F15" i="12"/>
  <c r="F16" i="12" s="1"/>
  <c r="G26" i="11"/>
  <c r="E11" i="11"/>
  <c r="H13" i="11" s="1"/>
  <c r="B5" i="11"/>
  <c r="F6" i="11"/>
  <c r="F7" i="11" s="1"/>
  <c r="E5" i="11"/>
  <c r="H7" i="11" s="1"/>
  <c r="B18" i="11"/>
  <c r="B6" i="11"/>
  <c r="B15" i="11"/>
  <c r="A8" i="11"/>
  <c r="C10" i="11"/>
  <c r="A20" i="11"/>
  <c r="C22" i="11"/>
  <c r="A7" i="11"/>
  <c r="F5" i="11" s="1"/>
  <c r="B8" i="11"/>
  <c r="A9" i="11"/>
  <c r="F9" i="11"/>
  <c r="F10" i="11" s="1"/>
  <c r="A11" i="11"/>
  <c r="C13" i="11"/>
  <c r="E13" i="11" s="1"/>
  <c r="E12" i="11" s="1"/>
  <c r="F21" i="11"/>
  <c r="F22" i="11" s="1"/>
  <c r="C25" i="11"/>
  <c r="B7" i="11"/>
  <c r="B11" i="11"/>
  <c r="C23" i="1"/>
  <c r="C20" i="1"/>
  <c r="C17" i="1"/>
  <c r="C14" i="1"/>
  <c r="C11" i="1"/>
  <c r="C8" i="1"/>
  <c r="C5" i="1"/>
  <c r="C22" i="12" l="1"/>
  <c r="E22" i="12" s="1"/>
  <c r="E21" i="12" s="1"/>
  <c r="B21" i="12" s="1"/>
  <c r="C7" i="12"/>
  <c r="E7" i="12" s="1"/>
  <c r="E6" i="12" s="1"/>
  <c r="B6" i="12" s="1"/>
  <c r="B5" i="12"/>
  <c r="F6" i="12"/>
  <c r="F7" i="12" s="1"/>
  <c r="E5" i="12"/>
  <c r="H7" i="12" s="1"/>
  <c r="E22" i="11"/>
  <c r="E21" i="11" s="1"/>
  <c r="B21" i="11" s="1"/>
  <c r="G26" i="12"/>
  <c r="E36" i="12" s="1"/>
  <c r="E25" i="11"/>
  <c r="E24" i="11" s="1"/>
  <c r="B24" i="11" s="1"/>
  <c r="H25" i="12"/>
  <c r="H25" i="11"/>
  <c r="G25" i="11" s="1"/>
  <c r="E8" i="12"/>
  <c r="H10" i="12" s="1"/>
  <c r="C10" i="12"/>
  <c r="E10" i="12" s="1"/>
  <c r="E9" i="12" s="1"/>
  <c r="B9" i="12" s="1"/>
  <c r="F9" i="12"/>
  <c r="F10" i="12" s="1"/>
  <c r="E10" i="11"/>
  <c r="E9" i="11" s="1"/>
  <c r="B9" i="11" s="1"/>
  <c r="F18" i="12"/>
  <c r="F19" i="12" s="1"/>
  <c r="B17" i="12"/>
  <c r="E17" i="12"/>
  <c r="H19" i="12" s="1"/>
  <c r="C19" i="12"/>
  <c r="E19" i="12" s="1"/>
  <c r="E18" i="12" s="1"/>
  <c r="B18" i="12" s="1"/>
  <c r="B12" i="11"/>
  <c r="A12" i="11"/>
  <c r="A10" i="11"/>
  <c r="F8" i="11" s="1"/>
  <c r="A23" i="11"/>
  <c r="B10" i="11"/>
  <c r="F1" i="12"/>
  <c r="F1" i="1"/>
  <c r="D1" i="1"/>
  <c r="D2" i="12"/>
  <c r="B2" i="12"/>
  <c r="D1" i="12"/>
  <c r="B1" i="12"/>
  <c r="H23" i="1"/>
  <c r="H20" i="1"/>
  <c r="H17" i="1"/>
  <c r="H14" i="1"/>
  <c r="H11" i="1"/>
  <c r="H8" i="1"/>
  <c r="H5" i="1"/>
  <c r="D24" i="1"/>
  <c r="D23" i="1"/>
  <c r="C24" i="1" s="1"/>
  <c r="C25" i="1" s="1"/>
  <c r="E25" i="1" s="1"/>
  <c r="E24" i="1" s="1"/>
  <c r="B24" i="1" s="1"/>
  <c r="D21" i="1"/>
  <c r="D20" i="1"/>
  <c r="D18" i="1"/>
  <c r="D17" i="1"/>
  <c r="G20" i="1" s="1"/>
  <c r="D15" i="1"/>
  <c r="D14" i="1"/>
  <c r="D11" i="1"/>
  <c r="G14" i="1" s="1"/>
  <c r="D9" i="1"/>
  <c r="D8" i="1"/>
  <c r="D10" i="1" s="1"/>
  <c r="D6" i="1"/>
  <c r="D5" i="1"/>
  <c r="C6" i="1" s="1"/>
  <c r="C7" i="1" s="1"/>
  <c r="D2" i="1"/>
  <c r="B37" i="1" s="1"/>
  <c r="B35" i="1" s="1"/>
  <c r="B2" i="1"/>
  <c r="B1" i="1"/>
  <c r="G27" i="11"/>
  <c r="F27" i="11"/>
  <c r="E27" i="11"/>
  <c r="D27" i="11"/>
  <c r="C27" i="11"/>
  <c r="B27" i="11"/>
  <c r="A27" i="11"/>
  <c r="E37" i="11"/>
  <c r="D3" i="12" l="1"/>
  <c r="B37" i="12"/>
  <c r="B35" i="12" s="1"/>
  <c r="A6" i="12"/>
  <c r="E7" i="1"/>
  <c r="E6" i="1" s="1"/>
  <c r="B6" i="1" s="1"/>
  <c r="E26" i="12"/>
  <c r="E33" i="12" s="1"/>
  <c r="E26" i="11"/>
  <c r="G25" i="12"/>
  <c r="G27" i="1"/>
  <c r="E38" i="11"/>
  <c r="D38" i="11" s="1"/>
  <c r="E38" i="12"/>
  <c r="D38" i="12" s="1"/>
  <c r="E34" i="12"/>
  <c r="E31" i="12"/>
  <c r="B13" i="11"/>
  <c r="A15" i="11"/>
  <c r="A13" i="11"/>
  <c r="F11" i="11" s="1"/>
  <c r="E27" i="1"/>
  <c r="H26" i="1"/>
  <c r="A6" i="1"/>
  <c r="A5" i="1" s="1"/>
  <c r="B7" i="1" s="1"/>
  <c r="D3" i="1"/>
  <c r="A9" i="1" s="1"/>
  <c r="E23" i="1"/>
  <c r="G11" i="1"/>
  <c r="D27" i="1"/>
  <c r="C21" i="1"/>
  <c r="C22" i="1" s="1"/>
  <c r="E22" i="1" s="1"/>
  <c r="E21" i="1" s="1"/>
  <c r="B21" i="1" s="1"/>
  <c r="G23" i="1"/>
  <c r="F27" i="1"/>
  <c r="C15" i="1"/>
  <c r="F15" i="1" s="1"/>
  <c r="G17" i="1"/>
  <c r="C27" i="1"/>
  <c r="C12" i="1"/>
  <c r="E11" i="1" s="1"/>
  <c r="H13" i="1" s="1"/>
  <c r="C18" i="1"/>
  <c r="C19" i="1" s="1"/>
  <c r="B27" i="1"/>
  <c r="C9" i="1"/>
  <c r="E8" i="1" s="1"/>
  <c r="H10" i="1" s="1"/>
  <c r="A27" i="1"/>
  <c r="G8" i="1"/>
  <c r="F24" i="1"/>
  <c r="E5" i="1"/>
  <c r="H7" i="1" s="1"/>
  <c r="B5" i="1"/>
  <c r="A17" i="1"/>
  <c r="A20" i="1"/>
  <c r="A11" i="1"/>
  <c r="E36" i="11"/>
  <c r="H27" i="11"/>
  <c r="B26" i="11" s="1"/>
  <c r="B35" i="11"/>
  <c r="A17" i="12" l="1"/>
  <c r="A14" i="12"/>
  <c r="A8" i="12"/>
  <c r="A5" i="12"/>
  <c r="B7" i="12" s="1"/>
  <c r="A20" i="12"/>
  <c r="A11" i="12"/>
  <c r="A7" i="12"/>
  <c r="F5" i="12" s="1"/>
  <c r="A9" i="12"/>
  <c r="A7" i="1"/>
  <c r="F5" i="1" s="1"/>
  <c r="E32" i="12"/>
  <c r="H25" i="1"/>
  <c r="E29" i="12"/>
  <c r="F16" i="1"/>
  <c r="F25" i="1"/>
  <c r="B16" i="11"/>
  <c r="A18" i="11"/>
  <c r="A16" i="11"/>
  <c r="F14" i="11" s="1"/>
  <c r="B14" i="1"/>
  <c r="F12" i="1"/>
  <c r="A14" i="1"/>
  <c r="A8" i="1"/>
  <c r="B10" i="1" s="1"/>
  <c r="F21" i="1"/>
  <c r="E20" i="1"/>
  <c r="H22" i="1" s="1"/>
  <c r="B20" i="1"/>
  <c r="H27" i="1"/>
  <c r="E29" i="1" s="1"/>
  <c r="G26" i="1"/>
  <c r="E36" i="1" s="1"/>
  <c r="F18" i="1"/>
  <c r="F19" i="1" s="1"/>
  <c r="B17" i="1"/>
  <c r="C10" i="1"/>
  <c r="E10" i="1" s="1"/>
  <c r="E9" i="1" s="1"/>
  <c r="B9" i="1" s="1"/>
  <c r="F9" i="1"/>
  <c r="B8" i="1"/>
  <c r="C16" i="1"/>
  <c r="E14" i="1"/>
  <c r="H16" i="1" s="1"/>
  <c r="F6" i="1"/>
  <c r="E17" i="1"/>
  <c r="H19" i="1" s="1"/>
  <c r="C13" i="1"/>
  <c r="E12" i="1" s="1"/>
  <c r="B11" i="1"/>
  <c r="A12" i="1"/>
  <c r="A10" i="1"/>
  <c r="F8" i="1" s="1"/>
  <c r="A23" i="1"/>
  <c r="E31" i="11"/>
  <c r="E32" i="11"/>
  <c r="E33" i="11"/>
  <c r="E34" i="11"/>
  <c r="E29" i="11"/>
  <c r="E30" i="11" s="1"/>
  <c r="B29" i="11"/>
  <c r="B10" i="12" l="1"/>
  <c r="A12" i="12"/>
  <c r="A23" i="12"/>
  <c r="A10" i="12"/>
  <c r="F8" i="12" s="1"/>
  <c r="E26" i="1"/>
  <c r="B12" i="1"/>
  <c r="E38" i="1"/>
  <c r="D38" i="1" s="1"/>
  <c r="E30" i="12"/>
  <c r="B28" i="12"/>
  <c r="F22" i="1"/>
  <c r="F13" i="1"/>
  <c r="F7" i="1"/>
  <c r="B28" i="1"/>
  <c r="F10" i="1"/>
  <c r="B29" i="1"/>
  <c r="B19" i="11"/>
  <c r="A21" i="11"/>
  <c r="A19" i="11"/>
  <c r="F17" i="11" s="1"/>
  <c r="B26" i="1"/>
  <c r="G25" i="1"/>
  <c r="B29" i="12"/>
  <c r="B28" i="11"/>
  <c r="B13" i="1"/>
  <c r="A15" i="1"/>
  <c r="A13" i="1"/>
  <c r="F11" i="1" s="1"/>
  <c r="B30" i="1" s="1"/>
  <c r="B30" i="11"/>
  <c r="B13" i="12" l="1"/>
  <c r="A15" i="12"/>
  <c r="A13" i="12"/>
  <c r="F11" i="12" s="1"/>
  <c r="B30" i="12" s="1"/>
  <c r="E34" i="1"/>
  <c r="E33" i="1"/>
  <c r="E32" i="1"/>
  <c r="E31" i="1"/>
  <c r="E30" i="1"/>
  <c r="A24" i="11"/>
  <c r="A22" i="11"/>
  <c r="F20" i="11" s="1"/>
  <c r="B22" i="11"/>
  <c r="B16" i="1"/>
  <c r="A18" i="1"/>
  <c r="A16" i="1"/>
  <c r="F14" i="1" s="1"/>
  <c r="C28" i="1" s="1"/>
  <c r="B16" i="12" l="1"/>
  <c r="A16" i="12"/>
  <c r="F14" i="12" s="1"/>
  <c r="C28" i="12" s="1"/>
  <c r="A18" i="12"/>
  <c r="A25" i="11"/>
  <c r="F23" i="11" s="1"/>
  <c r="F26" i="11" s="1"/>
  <c r="B25" i="11"/>
  <c r="C28" i="11"/>
  <c r="A19" i="1"/>
  <c r="F17" i="1" s="1"/>
  <c r="A21" i="1"/>
  <c r="B19" i="1"/>
  <c r="A21" i="12" l="1"/>
  <c r="A19" i="12"/>
  <c r="F17" i="12" s="1"/>
  <c r="B19" i="12"/>
  <c r="D28" i="11"/>
  <c r="A22" i="1"/>
  <c r="F20" i="1" s="1"/>
  <c r="D28" i="1" s="1"/>
  <c r="A24" i="1"/>
  <c r="B22" i="1"/>
  <c r="A24" i="12" l="1"/>
  <c r="B22" i="12"/>
  <c r="A22" i="12"/>
  <c r="F20" i="12" s="1"/>
  <c r="D28" i="12" s="1"/>
  <c r="B25" i="1"/>
  <c r="E40" i="1" s="1"/>
  <c r="A25" i="1"/>
  <c r="F23" i="1" s="1"/>
  <c r="E28" i="1" s="1"/>
  <c r="E40" i="11"/>
  <c r="E28" i="11"/>
  <c r="B25" i="12" l="1"/>
  <c r="E40" i="12" s="1"/>
  <c r="A25" i="12"/>
  <c r="F23" i="12" s="1"/>
  <c r="F26" i="1"/>
  <c r="E35" i="1" s="1"/>
  <c r="E35" i="11"/>
  <c r="F26" i="12" l="1"/>
  <c r="E35" i="12" s="1"/>
  <c r="E28" i="12"/>
</calcChain>
</file>

<file path=xl/sharedStrings.xml><?xml version="1.0" encoding="utf-8"?>
<sst xmlns="http://schemas.openxmlformats.org/spreadsheetml/2006/main" count="145" uniqueCount="69">
  <si>
    <t>Date</t>
  </si>
  <si>
    <t>à</t>
  </si>
  <si>
    <t>Heures de nuit :</t>
  </si>
  <si>
    <t>Heures de Nuit</t>
  </si>
  <si>
    <t>Equipe :</t>
  </si>
  <si>
    <t>Noms :</t>
  </si>
  <si>
    <t>PRODUCTION :</t>
  </si>
  <si>
    <t>FILM :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</si>
  <si>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</si>
  <si>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</si>
  <si>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TOTAL HEURES SEMAINE :</t>
  </si>
  <si>
    <r>
      <t xml:space="preserve">Heures de Transport
</t>
    </r>
    <r>
      <rPr>
        <sz val="10"/>
        <color rgb="FF0070C0"/>
        <rFont val="Arial"/>
        <family val="2"/>
      </rPr>
      <t>(Hors Paris-2h/jour Max)</t>
    </r>
  </si>
  <si>
    <t xml:space="preserve">Remplir la partie "infos" à titre indicatif: Semaine, Prod, Film etc... </t>
  </si>
  <si>
    <t>Annexe II</t>
  </si>
  <si>
    <t>Caméra</t>
  </si>
  <si>
    <t>Spécial</t>
  </si>
  <si>
    <t>John Smith</t>
  </si>
  <si>
    <t>qui en découlent.</t>
  </si>
  <si>
    <t>des heures d'équivalence.</t>
  </si>
  <si>
    <t>Puis remplir les horaires de travail effectifs soit : arrivée sur le plateau et fermeture du camion en fin de journée.</t>
  </si>
  <si>
    <t>Il faut respecter le format  "hh:mm" par exemple 20:00 pour 20h00.</t>
  </si>
  <si>
    <t>La feuille générera elle-même les jours de la semaine.</t>
  </si>
  <si>
    <t>Chaque feuille correspond à un poste et donc à un niveau de salaire.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</si>
  <si>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</si>
  <si>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</si>
  <si>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</si>
  <si>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</si>
  <si>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 xml:space="preserve">Production Cinéma </t>
  </si>
  <si>
    <t>Heure Coupure Repas              Début / Fin</t>
  </si>
  <si>
    <t xml:space="preserve">bloqués et générés automatiquement par la feuille. </t>
  </si>
  <si>
    <t>Du</t>
  </si>
  <si>
    <t>Au</t>
  </si>
  <si>
    <t xml:space="preserve">Somme des Heures
</t>
  </si>
  <si>
    <t>(semaine 43h mini)</t>
  </si>
  <si>
    <t>"Production"</t>
  </si>
  <si>
    <t>"Film"</t>
  </si>
  <si>
    <t>Semaine N°</t>
  </si>
  <si>
    <t>HEURES SIMPLES</t>
  </si>
  <si>
    <t>de 35h à 43h (8h)</t>
  </si>
  <si>
    <t>HEURES SUP +25 %</t>
  </si>
  <si>
    <t>de 43h à 48h (5h)</t>
  </si>
  <si>
    <t>HEURES SUP +50 %</t>
  </si>
  <si>
    <t>au-delà de 48h</t>
  </si>
  <si>
    <t>HEURES SUP +75 %</t>
  </si>
  <si>
    <t>HEURES DE TRANSPORT</t>
  </si>
  <si>
    <t>HEURES ANTICIPEES</t>
  </si>
  <si>
    <t>HEURES JOUR FERIE</t>
  </si>
  <si>
    <t>HEURES DIMANCHE</t>
  </si>
  <si>
    <t>HEURES DE NUIT</t>
  </si>
  <si>
    <t>Heures SEMAINE</t>
  </si>
  <si>
    <t>HEURES EQUIVALENCE</t>
  </si>
  <si>
    <t>HEURES SEMAINE AVEC EQUIVALENCE :</t>
  </si>
  <si>
    <r>
      <t xml:space="preserve">Rentrer la date du début de la semaine de travail </t>
    </r>
    <r>
      <rPr>
        <b/>
        <sz val="11"/>
        <rFont val="Geneva"/>
        <family val="2"/>
      </rPr>
      <t>en respectant le Format "=DATE(aaaa;m;j)"</t>
    </r>
  </si>
  <si>
    <t>Par exemple : saisir =DATE(2024;6;3) pour une semaine allant du 03/06/2024 au 09/06/2024.</t>
  </si>
  <si>
    <t xml:space="preserve">Indiquer également les heures de début de repas, la feuille completera automatiquement l'heure de fin de repas, en ajoutant une heure. </t>
  </si>
  <si>
    <t xml:space="preserve">Si votre pause repas est réduite, vous pourrez modifier manuellement la cellule d'horaire de fin de repas en déverouillant la feuille. </t>
  </si>
  <si>
    <t>La feuille prend en compte les journées continues et les coupures réduites le cas écheant.</t>
  </si>
  <si>
    <r>
      <rPr>
        <b/>
        <sz val="11"/>
        <rFont val="Geneva"/>
        <family val="2"/>
      </rPr>
      <t>Attention : la feuille est verouillée, il ne faut remplir QUE les champs qui sont indiqués en italique</t>
    </r>
    <r>
      <rPr>
        <sz val="11"/>
        <rFont val="Geneva"/>
        <family val="2"/>
      </rPr>
      <t xml:space="preserve">, les autres sont </t>
    </r>
  </si>
  <si>
    <t>Si vous souhaitez modifier les cellules protégées, allez dans l'onglet "Révision" -&gt; "Ôtez la protection de la feuille".</t>
  </si>
  <si>
    <t>Il n'y a pas de mot de passe pour ôter la protection.</t>
  </si>
  <si>
    <t>La feuille va donc calculer le total des heures au-delà de 35h, ainsi que les majorations à 25%, 50% ou 75%</t>
  </si>
  <si>
    <t xml:space="preserve">La feuille prend en compte la période des heures de nuit (été ou hiver) en se basant sur les dates de la semaine saisie. </t>
  </si>
  <si>
    <r>
      <t xml:space="preserve">Pour rappel, la période de nuit est comprise entre </t>
    </r>
    <r>
      <rPr>
        <b/>
        <sz val="11"/>
        <color theme="1"/>
        <rFont val="Geneva"/>
        <family val="2"/>
      </rPr>
      <t>20h et 6h du 1er octobre au 31 mars</t>
    </r>
    <r>
      <rPr>
        <sz val="11"/>
        <color theme="1"/>
        <rFont val="Geneva"/>
        <family val="2"/>
      </rPr>
      <t xml:space="preserve">, </t>
    </r>
  </si>
  <si>
    <r>
      <t xml:space="preserve">puis de </t>
    </r>
    <r>
      <rPr>
        <b/>
        <sz val="11"/>
        <color theme="1"/>
        <rFont val="Geneva"/>
        <family val="2"/>
      </rPr>
      <t>22h à 6h du 1er avril au 30 septembre</t>
    </r>
    <r>
      <rPr>
        <sz val="11"/>
        <color theme="1"/>
        <rFont val="Geneva"/>
        <family val="2"/>
      </rPr>
      <t xml:space="preserve">. </t>
    </r>
  </si>
  <si>
    <t>Attention, le total d'heures indiqué en rouge dans Salaire Semaine correspond au total après le retrait</t>
  </si>
  <si>
    <t xml:space="preserve">Durée de pause en cas </t>
  </si>
  <si>
    <t>de journée continue :</t>
  </si>
  <si>
    <t>Matrice d'heures Cinéma - AOA - Version 2.3 - MaJ du 8/11/2024</t>
  </si>
  <si>
    <t xml:space="preserve">Version 2.3 : Développement sous Excel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</si>
</sst>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6">
    <font>
      <sz val="9"/>
      <name val="Geneva"/>
    </font>
    <font>
      <sz val="8"/>
      <name val="Geneva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9"/>
      <color theme="7" tint="-0.499984740745262"/>
      <name val="Arial"/>
      <family val="2"/>
    </font>
    <font>
      <sz val="16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b/>
      <u/>
      <sz val="9"/>
      <color theme="1"/>
      <name val="Arial"/>
      <family val="2"/>
    </font>
    <font>
      <i/>
      <sz val="12"/>
      <name val="Geneva"/>
      <family val="2"/>
    </font>
    <font>
      <b/>
      <sz val="10"/>
      <color theme="2" tint="-0.749992370372631"/>
      <name val="Arial"/>
      <family val="2"/>
    </font>
    <font>
      <b/>
      <sz val="10"/>
      <name val="Arial"/>
      <family val="2"/>
    </font>
    <font>
      <sz val="11"/>
      <name val="Century Gothic"/>
      <family val="1"/>
    </font>
    <font>
      <sz val="11"/>
      <name val="Geneva"/>
      <family val="2"/>
    </font>
    <font>
      <sz val="12"/>
      <color theme="1"/>
      <name val="Arial"/>
      <family val="2"/>
    </font>
    <font>
      <b/>
      <u/>
      <sz val="9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b/>
      <sz val="11"/>
      <name val="Geneva"/>
      <family val="2"/>
    </font>
    <font>
      <i/>
      <sz val="11"/>
      <name val="Geneva"/>
      <family val="2"/>
    </font>
    <font>
      <b/>
      <sz val="20"/>
      <name val="Geneva"/>
      <family val="2"/>
    </font>
    <font>
      <sz val="20"/>
      <name val="Geneva"/>
      <family val="2"/>
    </font>
    <font>
      <sz val="11"/>
      <color theme="1"/>
      <name val="Geneva"/>
      <family val="2"/>
    </font>
    <font>
      <sz val="11"/>
      <color rgb="FFFF0000"/>
      <name val="Geneva"/>
      <family val="2"/>
    </font>
    <font>
      <b/>
      <sz val="11"/>
      <color theme="1"/>
      <name val="Geneva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5D9F1"/>
        <bgColor rgb="FF000000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3" borderId="2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top" wrapText="1"/>
    </xf>
    <xf numFmtId="0" fontId="23" fillId="5" borderId="6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top"/>
    </xf>
    <xf numFmtId="164" fontId="6" fillId="9" borderId="2" xfId="0" applyNumberFormat="1" applyFont="1" applyFill="1" applyBorder="1" applyAlignment="1">
      <alignment horizontal="center" vertical="center"/>
    </xf>
    <xf numFmtId="0" fontId="0" fillId="3" borderId="0" xfId="0" applyFill="1"/>
    <xf numFmtId="0" fontId="25" fillId="3" borderId="0" xfId="0" applyFont="1" applyFill="1"/>
    <xf numFmtId="0" fontId="25" fillId="0" borderId="0" xfId="0" applyFont="1"/>
    <xf numFmtId="0" fontId="26" fillId="0" borderId="0" xfId="0" applyFont="1"/>
    <xf numFmtId="49" fontId="9" fillId="3" borderId="7" xfId="0" applyNumberFormat="1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14" xfId="0" applyNumberFormat="1" applyFont="1" applyFill="1" applyBorder="1" applyAlignment="1">
      <alignment horizontal="center" vertical="top" wrapText="1"/>
    </xf>
    <xf numFmtId="165" fontId="5" fillId="9" borderId="15" xfId="0" applyNumberFormat="1" applyFont="1" applyFill="1" applyBorder="1" applyAlignment="1">
      <alignment horizontal="center" vertical="center"/>
    </xf>
    <xf numFmtId="20" fontId="21" fillId="3" borderId="2" xfId="0" applyNumberFormat="1" applyFont="1" applyFill="1" applyBorder="1" applyAlignment="1">
      <alignment horizontal="center" vertical="center"/>
    </xf>
    <xf numFmtId="165" fontId="18" fillId="0" borderId="15" xfId="0" applyNumberFormat="1" applyFont="1" applyBorder="1"/>
    <xf numFmtId="165" fontId="6" fillId="9" borderId="15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Alignment="1" applyProtection="1">
      <alignment horizontal="left" vertical="center"/>
      <protection locked="0"/>
    </xf>
    <xf numFmtId="0" fontId="23" fillId="5" borderId="11" xfId="0" applyFont="1" applyFill="1" applyBorder="1" applyAlignment="1">
      <alignment horizontal="right" vertical="center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14" fontId="17" fillId="8" borderId="13" xfId="0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 applyAlignment="1">
      <alignment horizontal="right" vertical="center"/>
    </xf>
    <xf numFmtId="0" fontId="17" fillId="8" borderId="13" xfId="0" applyFont="1" applyFill="1" applyBorder="1" applyAlignment="1">
      <alignment horizontal="left" vertical="center"/>
    </xf>
    <xf numFmtId="0" fontId="17" fillId="8" borderId="13" xfId="0" applyFont="1" applyFill="1" applyBorder="1" applyAlignment="1">
      <alignment horizontal="left" vertical="top"/>
    </xf>
    <xf numFmtId="0" fontId="16" fillId="9" borderId="10" xfId="0" applyFont="1" applyFill="1" applyBorder="1" applyAlignment="1">
      <alignment horizontal="center" vertical="center"/>
    </xf>
    <xf numFmtId="164" fontId="22" fillId="9" borderId="4" xfId="0" applyNumberFormat="1" applyFont="1" applyFill="1" applyBorder="1" applyAlignment="1" applyProtection="1">
      <alignment horizontal="center" vertical="center"/>
      <protection locked="0"/>
    </xf>
    <xf numFmtId="14" fontId="6" fillId="9" borderId="10" xfId="0" applyNumberFormat="1" applyFont="1" applyFill="1" applyBorder="1" applyAlignment="1">
      <alignment horizontal="center" vertical="center"/>
    </xf>
    <xf numFmtId="164" fontId="21" fillId="3" borderId="10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20" fontId="21" fillId="3" borderId="4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164" fontId="22" fillId="9" borderId="4" xfId="31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/>
    <xf numFmtId="0" fontId="0" fillId="3" borderId="13" xfId="0" applyFill="1" applyBorder="1" applyAlignment="1">
      <alignment vertical="center"/>
    </xf>
    <xf numFmtId="0" fontId="23" fillId="5" borderId="6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17" fillId="8" borderId="0" xfId="0" applyFont="1" applyFill="1" applyAlignment="1">
      <alignment horizontal="left" vertical="top"/>
    </xf>
    <xf numFmtId="20" fontId="5" fillId="9" borderId="2" xfId="0" applyNumberFormat="1" applyFont="1" applyFill="1" applyBorder="1" applyAlignment="1" applyProtection="1">
      <alignment horizontal="center" vertical="center"/>
      <protection locked="0"/>
    </xf>
    <xf numFmtId="164" fontId="5" fillId="9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 vertical="center"/>
    </xf>
    <xf numFmtId="45" fontId="18" fillId="3" borderId="11" xfId="0" applyNumberFormat="1" applyFont="1" applyFill="1" applyBorder="1" applyAlignment="1">
      <alignment horizontal="center" vertical="center"/>
    </xf>
    <xf numFmtId="45" fontId="18" fillId="3" borderId="6" xfId="0" applyNumberFormat="1" applyFont="1" applyFill="1" applyBorder="1" applyAlignment="1">
      <alignment horizontal="center" vertical="center"/>
    </xf>
    <xf numFmtId="20" fontId="2" fillId="0" borderId="0" xfId="0" applyNumberFormat="1" applyFont="1"/>
    <xf numFmtId="0" fontId="0" fillId="3" borderId="10" xfId="0" applyFill="1" applyBorder="1"/>
    <xf numFmtId="0" fontId="0" fillId="3" borderId="13" xfId="0" applyFill="1" applyBorder="1"/>
    <xf numFmtId="0" fontId="29" fillId="3" borderId="11" xfId="0" applyFont="1" applyFill="1" applyBorder="1"/>
    <xf numFmtId="0" fontId="29" fillId="3" borderId="6" xfId="0" applyFont="1" applyFill="1" applyBorder="1"/>
    <xf numFmtId="0" fontId="29" fillId="3" borderId="12" xfId="0" applyFont="1" applyFill="1" applyBorder="1"/>
    <xf numFmtId="0" fontId="29" fillId="0" borderId="0" xfId="0" applyFont="1"/>
    <xf numFmtId="49" fontId="4" fillId="10" borderId="18" xfId="0" applyNumberFormat="1" applyFont="1" applyFill="1" applyBorder="1" applyAlignment="1">
      <alignment vertical="center"/>
    </xf>
    <xf numFmtId="164" fontId="6" fillId="10" borderId="20" xfId="0" applyNumberFormat="1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right" vertical="center"/>
    </xf>
    <xf numFmtId="0" fontId="30" fillId="10" borderId="19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vertical="center"/>
    </xf>
    <xf numFmtId="0" fontId="32" fillId="8" borderId="10" xfId="0" applyFont="1" applyFill="1" applyBorder="1" applyAlignment="1">
      <alignment vertical="center"/>
    </xf>
    <xf numFmtId="0" fontId="32" fillId="8" borderId="0" xfId="0" applyFont="1" applyFill="1" applyAlignment="1">
      <alignment vertical="center"/>
    </xf>
    <xf numFmtId="0" fontId="32" fillId="8" borderId="13" xfId="0" applyFont="1" applyFill="1" applyBorder="1" applyAlignment="1">
      <alignment vertical="center"/>
    </xf>
    <xf numFmtId="0" fontId="32" fillId="3" borderId="10" xfId="0" applyFont="1" applyFill="1" applyBorder="1" applyAlignment="1">
      <alignment vertical="center"/>
    </xf>
    <xf numFmtId="14" fontId="17" fillId="8" borderId="16" xfId="0" applyNumberFormat="1" applyFont="1" applyFill="1" applyBorder="1" applyAlignment="1">
      <alignment horizontal="center" vertical="center" wrapText="1"/>
    </xf>
    <xf numFmtId="21" fontId="6" fillId="11" borderId="2" xfId="0" applyNumberFormat="1" applyFont="1" applyFill="1" applyBorder="1" applyAlignment="1">
      <alignment horizontal="center" vertical="center"/>
    </xf>
    <xf numFmtId="20" fontId="6" fillId="9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20" fontId="34" fillId="3" borderId="2" xfId="0" applyNumberFormat="1" applyFont="1" applyFill="1" applyBorder="1" applyAlignment="1">
      <alignment horizontal="center" vertical="center" wrapText="1"/>
    </xf>
    <xf numFmtId="164" fontId="34" fillId="3" borderId="2" xfId="0" applyNumberFormat="1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0" fontId="35" fillId="6" borderId="22" xfId="0" applyFont="1" applyFill="1" applyBorder="1" applyAlignment="1">
      <alignment vertical="center"/>
    </xf>
    <xf numFmtId="164" fontId="18" fillId="3" borderId="10" xfId="0" applyNumberFormat="1" applyFont="1" applyFill="1" applyBorder="1" applyAlignment="1">
      <alignment horizontal="center" vertical="center"/>
    </xf>
    <xf numFmtId="0" fontId="37" fillId="12" borderId="23" xfId="0" applyFont="1" applyFill="1" applyBorder="1" applyAlignment="1">
      <alignment horizontal="left" vertical="center"/>
    </xf>
    <xf numFmtId="0" fontId="37" fillId="6" borderId="2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0" fontId="38" fillId="10" borderId="23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49" fontId="4" fillId="13" borderId="23" xfId="0" applyNumberFormat="1" applyFont="1" applyFill="1" applyBorder="1" applyAlignment="1">
      <alignment vertical="center"/>
    </xf>
    <xf numFmtId="164" fontId="13" fillId="7" borderId="2" xfId="0" applyNumberFormat="1" applyFont="1" applyFill="1" applyBorder="1" applyAlignment="1">
      <alignment horizontal="center" vertical="center"/>
    </xf>
    <xf numFmtId="0" fontId="3" fillId="10" borderId="23" xfId="0" applyFont="1" applyFill="1" applyBorder="1"/>
    <xf numFmtId="0" fontId="15" fillId="3" borderId="10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center" vertical="center"/>
    </xf>
    <xf numFmtId="0" fontId="3" fillId="13" borderId="23" xfId="0" applyFont="1" applyFill="1" applyBorder="1"/>
    <xf numFmtId="164" fontId="13" fillId="7" borderId="27" xfId="0" applyNumberFormat="1" applyFont="1" applyFill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center" vertical="center"/>
    </xf>
    <xf numFmtId="164" fontId="6" fillId="12" borderId="4" xfId="0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164" fontId="6" fillId="10" borderId="4" xfId="0" applyNumberFormat="1" applyFont="1" applyFill="1" applyBorder="1" applyAlignment="1">
      <alignment horizontal="center" vertical="center"/>
    </xf>
    <xf numFmtId="164" fontId="6" fillId="13" borderId="4" xfId="0" applyNumberFormat="1" applyFont="1" applyFill="1" applyBorder="1" applyAlignment="1">
      <alignment horizontal="center" vertical="center"/>
    </xf>
    <xf numFmtId="164" fontId="18" fillId="3" borderId="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20" fontId="21" fillId="3" borderId="0" xfId="0" applyNumberFormat="1" applyFont="1" applyFill="1" applyAlignment="1">
      <alignment horizontal="center" vertical="center"/>
    </xf>
    <xf numFmtId="0" fontId="2" fillId="3" borderId="0" xfId="0" applyFont="1" applyFill="1"/>
    <xf numFmtId="0" fontId="2" fillId="3" borderId="13" xfId="0" applyFont="1" applyFill="1" applyBorder="1"/>
    <xf numFmtId="0" fontId="3" fillId="3" borderId="0" xfId="0" applyFont="1" applyFill="1"/>
    <xf numFmtId="0" fontId="3" fillId="3" borderId="13" xfId="0" applyFont="1" applyFill="1" applyBorder="1"/>
    <xf numFmtId="0" fontId="2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5" fontId="18" fillId="3" borderId="15" xfId="0" applyNumberFormat="1" applyFont="1" applyFill="1" applyBorder="1"/>
    <xf numFmtId="0" fontId="28" fillId="13" borderId="24" xfId="0" applyFont="1" applyFill="1" applyBorder="1" applyAlignment="1">
      <alignment vertical="center"/>
    </xf>
    <xf numFmtId="164" fontId="34" fillId="13" borderId="25" xfId="0" applyNumberFormat="1" applyFont="1" applyFill="1" applyBorder="1" applyAlignment="1">
      <alignment horizontal="center" vertical="center"/>
    </xf>
    <xf numFmtId="0" fontId="3" fillId="3" borderId="10" xfId="0" applyFont="1" applyFill="1" applyBorder="1"/>
    <xf numFmtId="0" fontId="3" fillId="3" borderId="9" xfId="0" applyFont="1" applyFill="1" applyBorder="1"/>
    <xf numFmtId="0" fontId="3" fillId="3" borderId="17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5" fillId="3" borderId="1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8" fillId="10" borderId="26" xfId="0" applyFont="1" applyFill="1" applyBorder="1" applyAlignment="1">
      <alignment vertical="center"/>
    </xf>
    <xf numFmtId="164" fontId="6" fillId="10" borderId="28" xfId="0" applyNumberFormat="1" applyFont="1" applyFill="1" applyBorder="1" applyAlignment="1">
      <alignment horizontal="center" vertical="center"/>
    </xf>
    <xf numFmtId="0" fontId="36" fillId="6" borderId="29" xfId="0" applyFont="1" applyFill="1" applyBorder="1" applyAlignment="1">
      <alignment horizontal="right" vertical="center"/>
    </xf>
    <xf numFmtId="0" fontId="36" fillId="12" borderId="13" xfId="0" applyFont="1" applyFill="1" applyBorder="1" applyAlignment="1">
      <alignment horizontal="right" vertical="center"/>
    </xf>
    <xf numFmtId="0" fontId="36" fillId="6" borderId="13" xfId="0" applyFont="1" applyFill="1" applyBorder="1" applyAlignment="1">
      <alignment horizontal="right" vertical="center"/>
    </xf>
    <xf numFmtId="0" fontId="11" fillId="10" borderId="12" xfId="0" applyFont="1" applyFill="1" applyBorder="1" applyAlignment="1">
      <alignment horizontal="right" vertical="center"/>
    </xf>
    <xf numFmtId="0" fontId="11" fillId="13" borderId="13" xfId="0" applyFont="1" applyFill="1" applyBorder="1" applyAlignment="1">
      <alignment horizontal="right" vertical="center"/>
    </xf>
    <xf numFmtId="0" fontId="11" fillId="10" borderId="13" xfId="0" applyFont="1" applyFill="1" applyBorder="1" applyAlignment="1">
      <alignment horizontal="right" vertical="center"/>
    </xf>
    <xf numFmtId="0" fontId="11" fillId="13" borderId="16" xfId="0" applyFont="1" applyFill="1" applyBorder="1" applyAlignment="1">
      <alignment horizontal="right" vertical="center"/>
    </xf>
    <xf numFmtId="0" fontId="33" fillId="3" borderId="0" xfId="0" applyFont="1" applyFill="1" applyAlignment="1">
      <alignment vertical="center"/>
    </xf>
    <xf numFmtId="0" fontId="40" fillId="3" borderId="10" xfId="0" applyFont="1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40" fillId="3" borderId="9" xfId="0" applyFont="1" applyFill="1" applyBorder="1" applyAlignment="1">
      <alignment vertical="center"/>
    </xf>
    <xf numFmtId="0" fontId="40" fillId="3" borderId="8" xfId="0" applyFont="1" applyFill="1" applyBorder="1" applyAlignment="1">
      <alignment vertical="center"/>
    </xf>
    <xf numFmtId="0" fontId="33" fillId="3" borderId="8" xfId="0" applyFont="1" applyFill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0" fontId="41" fillId="3" borderId="10" xfId="0" applyFont="1" applyFill="1" applyBorder="1" applyAlignment="1">
      <alignment vertical="center"/>
    </xf>
    <xf numFmtId="0" fontId="4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3" fillId="8" borderId="10" xfId="0" applyFont="1" applyFill="1" applyBorder="1" applyAlignment="1">
      <alignment vertical="center"/>
    </xf>
    <xf numFmtId="0" fontId="33" fillId="8" borderId="0" xfId="0" applyFont="1" applyFill="1" applyAlignment="1">
      <alignment vertical="center"/>
    </xf>
    <xf numFmtId="0" fontId="33" fillId="8" borderId="13" xfId="0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9" borderId="10" xfId="0" applyFont="1" applyFill="1" applyBorder="1" applyAlignment="1">
      <alignment vertical="center"/>
    </xf>
    <xf numFmtId="0" fontId="33" fillId="9" borderId="0" xfId="0" applyFont="1" applyFill="1" applyAlignment="1">
      <alignment vertical="center"/>
    </xf>
    <xf numFmtId="0" fontId="33" fillId="9" borderId="13" xfId="0" applyFont="1" applyFill="1" applyBorder="1" applyAlignment="1">
      <alignment vertical="center"/>
    </xf>
    <xf numFmtId="0" fontId="39" fillId="9" borderId="10" xfId="0" applyFont="1" applyFill="1" applyBorder="1" applyAlignment="1">
      <alignment vertical="center"/>
    </xf>
    <xf numFmtId="0" fontId="39" fillId="9" borderId="0" xfId="0" applyFont="1" applyFill="1" applyAlignment="1">
      <alignment vertical="center"/>
    </xf>
    <xf numFmtId="0" fontId="33" fillId="6" borderId="10" xfId="0" applyFont="1" applyFill="1" applyBorder="1" applyAlignment="1">
      <alignment vertical="center"/>
    </xf>
    <xf numFmtId="0" fontId="33" fillId="6" borderId="0" xfId="0" applyFont="1" applyFill="1" applyAlignment="1">
      <alignment vertical="center"/>
    </xf>
    <xf numFmtId="0" fontId="33" fillId="6" borderId="13" xfId="0" applyFont="1" applyFill="1" applyBorder="1" applyAlignment="1">
      <alignment vertical="center"/>
    </xf>
    <xf numFmtId="0" fontId="43" fillId="6" borderId="10" xfId="0" applyFont="1" applyFill="1" applyBorder="1" applyAlignment="1">
      <alignment vertical="center"/>
    </xf>
    <xf numFmtId="0" fontId="44" fillId="6" borderId="0" xfId="0" applyFont="1" applyFill="1" applyAlignment="1">
      <alignment vertical="center"/>
    </xf>
    <xf numFmtId="0" fontId="44" fillId="6" borderId="13" xfId="0" applyFont="1" applyFill="1" applyBorder="1" applyAlignment="1">
      <alignment vertical="center"/>
    </xf>
    <xf numFmtId="0" fontId="43" fillId="3" borderId="10" xfId="0" applyFont="1" applyFill="1" applyBorder="1" applyAlignment="1">
      <alignment vertical="center"/>
    </xf>
    <xf numFmtId="0" fontId="44" fillId="3" borderId="0" xfId="0" applyFont="1" applyFill="1" applyAlignment="1">
      <alignment vertical="center"/>
    </xf>
    <xf numFmtId="0" fontId="44" fillId="3" borderId="13" xfId="0" applyFont="1" applyFill="1" applyBorder="1" applyAlignment="1">
      <alignment vertical="center"/>
    </xf>
    <xf numFmtId="0" fontId="44" fillId="4" borderId="10" xfId="0" applyFont="1" applyFill="1" applyBorder="1" applyAlignment="1">
      <alignment vertical="center"/>
    </xf>
    <xf numFmtId="0" fontId="44" fillId="4" borderId="0" xfId="0" applyFont="1" applyFill="1" applyAlignment="1">
      <alignment vertical="center"/>
    </xf>
    <xf numFmtId="0" fontId="44" fillId="4" borderId="13" xfId="0" applyFont="1" applyFill="1" applyBorder="1" applyAlignment="1">
      <alignment vertical="center"/>
    </xf>
    <xf numFmtId="0" fontId="44" fillId="3" borderId="10" xfId="0" applyFont="1" applyFill="1" applyBorder="1" applyAlignment="1">
      <alignment vertical="center"/>
    </xf>
    <xf numFmtId="20" fontId="5" fillId="9" borderId="2" xfId="0" applyNumberFormat="1" applyFont="1" applyFill="1" applyBorder="1" applyAlignment="1" applyProtection="1">
      <alignment horizontal="center" vertical="center"/>
    </xf>
    <xf numFmtId="20" fontId="5" fillId="14" borderId="2" xfId="0" applyNumberFormat="1" applyFont="1" applyFill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21" fontId="12" fillId="3" borderId="2" xfId="0" applyNumberFormat="1" applyFont="1" applyFill="1" applyBorder="1" applyAlignment="1">
      <alignment horizontal="center" vertical="center"/>
    </xf>
    <xf numFmtId="164" fontId="6" fillId="7" borderId="27" xfId="0" applyNumberFormat="1" applyFont="1" applyFill="1" applyBorder="1" applyAlignment="1">
      <alignment horizontal="center" vertical="center"/>
    </xf>
    <xf numFmtId="164" fontId="34" fillId="9" borderId="2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right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/>
    </xf>
    <xf numFmtId="164" fontId="7" fillId="2" borderId="33" xfId="0" applyNumberFormat="1" applyFont="1" applyFill="1" applyBorder="1" applyAlignment="1">
      <alignment horizontal="center" vertical="center"/>
    </xf>
    <xf numFmtId="0" fontId="6" fillId="13" borderId="4" xfId="0" applyNumberFormat="1" applyFont="1" applyFill="1" applyBorder="1" applyAlignment="1">
      <alignment horizontal="center" vertical="center"/>
    </xf>
  </cellXfs>
  <cellStyles count="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9928-975A-9848-A76E-E7047281F838}">
  <sheetPr codeName="Feuil1">
    <tabColor theme="9" tint="0.59999389629810485"/>
    <pageSetUpPr fitToPage="1"/>
  </sheetPr>
  <dimension ref="A1:K36"/>
  <sheetViews>
    <sheetView topLeftCell="A3" zoomScale="85" zoomScaleNormal="85" workbookViewId="0">
      <selection activeCell="A37" sqref="A37"/>
    </sheetView>
  </sheetViews>
  <sheetFormatPr baseColWidth="10" defaultRowHeight="12"/>
  <cols>
    <col min="11" max="11" width="20.5" customWidth="1"/>
  </cols>
  <sheetData>
    <row r="1" spans="1:11" s="55" customFormat="1" ht="20" customHeight="1">
      <c r="A1" s="52" t="s">
        <v>67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ht="12" customHeight="1">
      <c r="A2" s="50"/>
      <c r="B2" s="9"/>
      <c r="C2" s="9"/>
      <c r="D2" s="9"/>
      <c r="E2" s="9"/>
      <c r="F2" s="9"/>
      <c r="G2" s="9"/>
      <c r="H2" s="9"/>
      <c r="I2" s="9"/>
      <c r="J2" s="9"/>
      <c r="K2" s="51"/>
    </row>
    <row r="3" spans="1:11" ht="28">
      <c r="A3" s="143" t="s">
        <v>23</v>
      </c>
      <c r="B3" s="144"/>
      <c r="C3" s="144"/>
      <c r="D3" s="144"/>
      <c r="E3" s="145"/>
      <c r="F3" s="145"/>
      <c r="G3" s="145"/>
      <c r="H3" s="145"/>
      <c r="I3" s="145"/>
      <c r="J3" s="145"/>
      <c r="K3" s="39"/>
    </row>
    <row r="4" spans="1:11" ht="23" customHeight="1">
      <c r="A4" s="137" t="s">
        <v>22</v>
      </c>
      <c r="B4" s="136"/>
      <c r="C4" s="136"/>
      <c r="D4" s="136"/>
      <c r="E4" s="136"/>
      <c r="F4" s="136"/>
      <c r="G4" s="136"/>
      <c r="H4" s="136"/>
      <c r="I4" s="136"/>
      <c r="J4" s="136"/>
      <c r="K4" s="62"/>
    </row>
    <row r="5" spans="1:11" ht="23" customHeight="1">
      <c r="A5" s="137"/>
      <c r="B5" s="136"/>
      <c r="C5" s="136"/>
      <c r="D5" s="136"/>
      <c r="E5" s="136"/>
      <c r="F5" s="136"/>
      <c r="G5" s="136"/>
      <c r="H5" s="136"/>
      <c r="I5" s="136"/>
      <c r="J5" s="136"/>
      <c r="K5" s="62"/>
    </row>
    <row r="6" spans="1:11" ht="23" customHeight="1">
      <c r="A6" s="146" t="s">
        <v>12</v>
      </c>
      <c r="B6" s="147"/>
      <c r="C6" s="147"/>
      <c r="D6" s="147"/>
      <c r="E6" s="147"/>
      <c r="F6" s="147"/>
      <c r="G6" s="147"/>
      <c r="H6" s="147"/>
      <c r="I6" s="147"/>
      <c r="J6" s="147"/>
      <c r="K6" s="148"/>
    </row>
    <row r="7" spans="1:11" ht="23" customHeight="1">
      <c r="A7" s="146" t="s">
        <v>52</v>
      </c>
      <c r="B7" s="147"/>
      <c r="C7" s="147"/>
      <c r="D7" s="147"/>
      <c r="E7" s="147"/>
      <c r="F7" s="147"/>
      <c r="G7" s="147"/>
      <c r="H7" s="147"/>
      <c r="I7" s="147"/>
      <c r="J7" s="147"/>
      <c r="K7" s="148"/>
    </row>
    <row r="8" spans="1:11" ht="23" customHeight="1">
      <c r="A8" s="146" t="s">
        <v>21</v>
      </c>
      <c r="B8" s="147"/>
      <c r="C8" s="147"/>
      <c r="D8" s="147"/>
      <c r="E8" s="147"/>
      <c r="F8" s="147"/>
      <c r="G8" s="147"/>
      <c r="H8" s="147"/>
      <c r="I8" s="147"/>
      <c r="J8" s="147"/>
      <c r="K8" s="148"/>
    </row>
    <row r="9" spans="1:11" ht="23" customHeight="1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8"/>
    </row>
    <row r="10" spans="1:11" ht="23" customHeight="1">
      <c r="A10" s="63" t="s">
        <v>53</v>
      </c>
      <c r="B10" s="64"/>
      <c r="C10" s="64"/>
      <c r="D10" s="64"/>
      <c r="E10" s="64"/>
      <c r="F10" s="64"/>
      <c r="G10" s="64"/>
      <c r="H10" s="64"/>
      <c r="I10" s="64"/>
      <c r="J10" s="64"/>
      <c r="K10" s="65"/>
    </row>
    <row r="11" spans="1:11" ht="23" customHeight="1">
      <c r="A11" s="149"/>
      <c r="B11" s="136"/>
      <c r="C11" s="136"/>
      <c r="D11" s="136"/>
      <c r="E11" s="136"/>
      <c r="F11" s="136"/>
      <c r="G11" s="136"/>
      <c r="H11" s="136"/>
      <c r="I11" s="136"/>
      <c r="J11" s="136"/>
      <c r="K11" s="62"/>
    </row>
    <row r="12" spans="1:11" ht="23" customHeight="1">
      <c r="A12" s="150" t="s">
        <v>19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2"/>
    </row>
    <row r="13" spans="1:11" ht="23" customHeight="1">
      <c r="A13" s="153" t="s">
        <v>20</v>
      </c>
      <c r="B13" s="154"/>
      <c r="C13" s="154"/>
      <c r="D13" s="154"/>
      <c r="E13" s="154"/>
      <c r="F13" s="154"/>
      <c r="G13" s="154"/>
      <c r="H13" s="154"/>
      <c r="I13" s="151"/>
      <c r="J13" s="151"/>
      <c r="K13" s="152"/>
    </row>
    <row r="14" spans="1:11" ht="23" customHeight="1">
      <c r="A14" s="153" t="s">
        <v>54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2"/>
    </row>
    <row r="15" spans="1:11" ht="23" customHeight="1">
      <c r="A15" s="150" t="s">
        <v>55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2"/>
    </row>
    <row r="16" spans="1:11" ht="23" customHeight="1">
      <c r="A16" s="150" t="s">
        <v>56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2"/>
    </row>
    <row r="17" spans="1:11" ht="23" customHeight="1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2"/>
    </row>
    <row r="18" spans="1:11" ht="23" customHeight="1">
      <c r="A18" s="150" t="s">
        <v>57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2"/>
    </row>
    <row r="19" spans="1:11" ht="23" customHeight="1">
      <c r="A19" s="150" t="s">
        <v>29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/>
    </row>
    <row r="20" spans="1:11" s="9" customFormat="1" ht="23" customHeight="1">
      <c r="A20" s="150" t="s">
        <v>58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2"/>
    </row>
    <row r="21" spans="1:11" s="11" customFormat="1" ht="23" customHeight="1">
      <c r="A21" s="150" t="s">
        <v>59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/>
    </row>
    <row r="22" spans="1:11" s="11" customFormat="1" ht="23" customHeight="1">
      <c r="A22" s="149"/>
      <c r="B22" s="136"/>
      <c r="C22" s="136"/>
      <c r="D22" s="136"/>
      <c r="E22" s="136"/>
      <c r="F22" s="136"/>
      <c r="G22" s="136"/>
      <c r="H22" s="136"/>
      <c r="I22" s="136"/>
      <c r="J22" s="136"/>
      <c r="K22" s="62"/>
    </row>
    <row r="23" spans="1:11" s="11" customFormat="1" ht="23" customHeight="1">
      <c r="A23" s="155" t="s">
        <v>60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7"/>
    </row>
    <row r="24" spans="1:11" s="11" customFormat="1" ht="23" customHeight="1">
      <c r="A24" s="158" t="s">
        <v>17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60"/>
    </row>
    <row r="25" spans="1:11" s="11" customFormat="1" ht="23" customHeight="1">
      <c r="A25" s="158" t="s">
        <v>61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60"/>
    </row>
    <row r="26" spans="1:11" s="10" customFormat="1" ht="23" customHeight="1">
      <c r="A26" s="158" t="s">
        <v>62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60"/>
    </row>
    <row r="27" spans="1:11" ht="23" customHeight="1">
      <c r="A27" s="158" t="s">
        <v>63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60"/>
    </row>
    <row r="28" spans="1:11" s="12" customFormat="1" ht="23" customHeight="1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63"/>
    </row>
    <row r="29" spans="1:11" s="12" customFormat="1" ht="23" customHeight="1">
      <c r="A29" s="164" t="s">
        <v>64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6"/>
    </row>
    <row r="30" spans="1:11" s="12" customFormat="1" ht="23" customHeight="1">
      <c r="A30" s="164" t="s">
        <v>18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6"/>
    </row>
    <row r="31" spans="1:11" ht="23" customHeight="1">
      <c r="A31" s="167"/>
      <c r="B31" s="162"/>
      <c r="C31" s="162"/>
      <c r="D31" s="162"/>
      <c r="E31" s="162"/>
      <c r="F31" s="162"/>
      <c r="G31" s="162"/>
      <c r="H31" s="162"/>
      <c r="I31" s="162"/>
      <c r="J31" s="162"/>
      <c r="K31" s="163"/>
    </row>
    <row r="32" spans="1:11" s="9" customFormat="1" ht="23" customHeight="1">
      <c r="A32" s="150" t="s">
        <v>24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</row>
    <row r="33" spans="1:11" ht="23" customHeight="1">
      <c r="A33" s="150" t="s">
        <v>25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/>
    </row>
    <row r="34" spans="1:11" ht="15">
      <c r="A34" s="66"/>
      <c r="B34" s="136"/>
      <c r="C34" s="136"/>
      <c r="D34" s="136"/>
      <c r="E34" s="136"/>
      <c r="F34" s="136"/>
      <c r="G34" s="136"/>
      <c r="H34" s="136"/>
      <c r="I34" s="136"/>
      <c r="J34" s="136"/>
      <c r="K34" s="62"/>
    </row>
    <row r="35" spans="1:11" ht="15">
      <c r="A35" s="137" t="s">
        <v>26</v>
      </c>
      <c r="B35" s="138"/>
      <c r="C35" s="138"/>
      <c r="D35" s="138"/>
      <c r="E35" s="138"/>
      <c r="F35" s="136"/>
      <c r="G35" s="136"/>
      <c r="H35" s="136"/>
      <c r="I35" s="136"/>
      <c r="J35" s="136"/>
      <c r="K35" s="62"/>
    </row>
    <row r="36" spans="1:11" ht="15">
      <c r="A36" s="139" t="s">
        <v>68</v>
      </c>
      <c r="B36" s="140"/>
      <c r="C36" s="140"/>
      <c r="D36" s="140"/>
      <c r="E36" s="140"/>
      <c r="F36" s="141"/>
      <c r="G36" s="141"/>
      <c r="H36" s="141"/>
      <c r="I36" s="141"/>
      <c r="J36" s="141"/>
      <c r="K36" s="142"/>
    </row>
  </sheetData>
  <sheetProtection sheet="1" selectLockedCells="1"/>
  <pageMargins left="0" right="0" top="0.15748031496062992" bottom="0.15748031496062992" header="0.11811023622047244" footer="0.1181102362204724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28AB-34A3-EB4C-BE26-739E0849CDB9}">
  <sheetPr codeName="Feuil3">
    <tabColor rgb="FF00B0F0"/>
    <pageSetUpPr fitToPage="1"/>
  </sheetPr>
  <dimension ref="A1:I42"/>
  <sheetViews>
    <sheetView tabSelected="1" zoomScale="75" zoomScaleNormal="75" workbookViewId="0">
      <selection activeCell="D5" sqref="D5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9" ht="24" customHeight="1">
      <c r="A1" s="22" t="s">
        <v>6</v>
      </c>
      <c r="B1" s="20" t="s">
        <v>34</v>
      </c>
      <c r="C1" s="40"/>
      <c r="D1" s="23" t="s">
        <v>36</v>
      </c>
      <c r="E1" s="6" t="s">
        <v>4</v>
      </c>
      <c r="F1" s="20" t="s">
        <v>14</v>
      </c>
      <c r="G1" s="41"/>
      <c r="H1" s="24"/>
    </row>
    <row r="2" spans="1:9" ht="20" customHeight="1">
      <c r="A2" s="25" t="s">
        <v>7</v>
      </c>
      <c r="B2" s="21" t="s">
        <v>35</v>
      </c>
      <c r="C2" s="27" t="s">
        <v>30</v>
      </c>
      <c r="D2" s="26">
        <f>DATE(2024,1,1)</f>
        <v>43830</v>
      </c>
      <c r="E2" s="27" t="s">
        <v>5</v>
      </c>
      <c r="F2" s="21" t="s">
        <v>16</v>
      </c>
      <c r="G2" s="42"/>
      <c r="H2" s="28"/>
    </row>
    <row r="3" spans="1:9" ht="20" customHeight="1" thickBot="1">
      <c r="A3" s="25"/>
      <c r="B3" s="42"/>
      <c r="C3" s="27" t="s">
        <v>31</v>
      </c>
      <c r="D3" s="67">
        <f>D2+DAY(5)</f>
        <v>43836</v>
      </c>
      <c r="E3" s="7"/>
      <c r="F3" s="43"/>
      <c r="G3" s="43"/>
      <c r="H3" s="29"/>
    </row>
    <row r="4" spans="1:9" ht="50" customHeight="1">
      <c r="A4" s="13" t="s">
        <v>0</v>
      </c>
      <c r="B4" s="5" t="s">
        <v>15</v>
      </c>
      <c r="C4" s="5" t="s">
        <v>28</v>
      </c>
      <c r="D4" s="5" t="s">
        <v>8</v>
      </c>
      <c r="E4" s="5" t="s">
        <v>32</v>
      </c>
      <c r="F4" s="5" t="s">
        <v>3</v>
      </c>
      <c r="G4" s="14" t="s">
        <v>9</v>
      </c>
      <c r="H4" s="15" t="s">
        <v>11</v>
      </c>
    </row>
    <row r="5" spans="1:9" s="3" customFormat="1" ht="23" customHeight="1">
      <c r="A5" s="30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44">
        <v>0</v>
      </c>
      <c r="D5" s="31"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45">
        <v>0</v>
      </c>
    </row>
    <row r="6" spans="1:9" ht="17" customHeight="1">
      <c r="A6" s="32">
        <f>D2</f>
        <v>43830</v>
      </c>
      <c r="B6" s="68" t="str">
        <f>IF(E6="", "","(journée continue)")</f>
        <v/>
      </c>
      <c r="C6" s="168">
        <f>IF(OR(AND(D5=0/24, D6=0/24,), AND(C5=0/24, D6=0/24), (MOD(D6-C5,24) =D6)), 0/24, C5+1/24)</f>
        <v>0</v>
      </c>
      <c r="D6" s="37">
        <v>0</v>
      </c>
      <c r="E6" s="173" t="str">
        <f>IF(SUM(D7,E7)=0/24,"",SUM(D7,E7))</f>
        <v/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69"/>
      <c r="H6" s="16"/>
    </row>
    <row r="7" spans="1:9" ht="17" customHeight="1">
      <c r="A7" s="33">
        <f>IF(A6 = "", Deb, IF(A6&gt;DATE(YEAR(A6),3,31),IF(A6&lt;DATE(YEAR(A6),10,1),22/24,20/24),20/24))</f>
        <v>0.83333333333333337</v>
      </c>
      <c r="B7" s="70" t="str">
        <f>IF(A6 &lt;&gt; "", IF(A5="DIMANCHE", "(majoration dimanche)", ""), "")</f>
        <v/>
      </c>
      <c r="C7" s="34">
        <f>IF(C6 = C5, (MOD(D6-D5,1)),0)</f>
        <v>0</v>
      </c>
      <c r="D7" s="35">
        <f>IF(C5=0 / 24,0,IF((MOD(C5-D5,1))&lt;6 / 24,0, B33))</f>
        <v>0</v>
      </c>
      <c r="E7" s="17">
        <f>IF(C7&gt;=(6/24),B33,(IF(C5=C6,IF(MOD(D6-D5,1)&lt;6/24,0,B33),IF((MOD(D6-C6,1))&lt;6/24,0,B33))))</f>
        <v>0</v>
      </c>
      <c r="F7" s="4" t="str">
        <f>IF(OR(F6=" ", F6=0)," ","(minoration repas nuit)")</f>
        <v xml:space="preserve"> </v>
      </c>
      <c r="G7" s="71"/>
      <c r="H7" s="18">
        <f>IF(E5&lt;=10/24,0/24,E5-10/24)</f>
        <v>0</v>
      </c>
    </row>
    <row r="8" spans="1:9" ht="17" customHeight="1">
      <c r="A8" s="30" t="str">
        <f>CHOOSE(WEEKDAY(A6+1,2),"LUNDI","MARDI","MERCREDI","JEUDI","VENDREDI","SAMEDI","DIMANCHE")</f>
        <v>MARDI</v>
      </c>
      <c r="B8" s="36" t="str">
        <f>IF(OR(C8&lt;&gt;0, C9 &lt;&gt;0), IF(MOD(C9-C8, 1) &lt; 0.041, "(pause réduite)", ""), "")</f>
        <v/>
      </c>
      <c r="C8" s="44">
        <v>0</v>
      </c>
      <c r="D8" s="31"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45">
        <v>0</v>
      </c>
      <c r="I8" s="38"/>
    </row>
    <row r="9" spans="1:9" ht="17" customHeight="1">
      <c r="A9" s="32">
        <f>IF(AND(DATE(YEAR(D2),MONTH(D2),DAY(D2))&lt;DATE(YEAR(D3),MONTH(D3),DAY(D3)), A6&lt;&gt;""),DATE(YEAR(D2),MONTH(D2),DAY(D2)+1),"")</f>
        <v>43831</v>
      </c>
      <c r="B9" s="72" t="str">
        <f>IF(E9="", "","(journée continue)")</f>
        <v/>
      </c>
      <c r="C9" s="168">
        <f>IF(OR(AND(D8=0/24, D9=0/24,), AND(C8=0/24, D9=0/24), (MOD(D9-C8,24) =D9)), 0/24, C8+1/24)</f>
        <v>0</v>
      </c>
      <c r="D9" s="37">
        <v>0</v>
      </c>
      <c r="E9" s="173" t="str">
        <f>IF(SUM(D10,E10)=0/24,"",SUM(D10,E10))</f>
        <v/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69"/>
      <c r="H9" s="16"/>
    </row>
    <row r="10" spans="1:9" ht="17" customHeight="1">
      <c r="A10" s="33">
        <f>IF(A9 = "", Deb, IF(A9&gt;DATE(YEAR(A9),3,31),IF(A9&lt;DATE(YEAR(A9),10,1),22/24,20/24),20/24))</f>
        <v>0.83333333333333337</v>
      </c>
      <c r="B10" s="70" t="str">
        <f>IF(A9 &lt;&gt; "", IF(A8="DIMANCHE", "(majoration dimanche)", ""), "")</f>
        <v/>
      </c>
      <c r="C10" s="34">
        <f>IF(C9 = C8, (MOD(D9-D8,1)),0)</f>
        <v>0</v>
      </c>
      <c r="D10" s="35">
        <f>IF(C8=0 / 24,0,IF((MOD(C8-D8,1))&lt;6 / 24,0,B33))</f>
        <v>0</v>
      </c>
      <c r="E10" s="34">
        <f>IF(C10&gt;=(6/24),B33,(IF(C8 = C9, IF(MOD(D9-D8, 1) &lt;6/24, 0, B33), IF((MOD(D9-C9,1))&lt;6/24,0,B33))))</f>
        <v>0</v>
      </c>
      <c r="F10" s="4" t="str">
        <f>IF(F9=" "," ","(minoration repas nuit)")</f>
        <v xml:space="preserve"> </v>
      </c>
      <c r="G10" s="71"/>
      <c r="H10" s="107">
        <f>IF(E8&lt;=10/24,0/24,E8-10/24)</f>
        <v>0</v>
      </c>
    </row>
    <row r="11" spans="1:9" ht="17" customHeight="1">
      <c r="A11" s="30" t="str">
        <f>CHOOSE(WEEKDAY(A6+2,2),"LUNDI","MARDI","MERCREDI","JEUDI","VENDREDI","SAMEDI","DIMANCHE")</f>
        <v>MERCREDI</v>
      </c>
      <c r="B11" s="36" t="str">
        <f>IF(OR(C11&lt;&gt;0, C12 &lt;&gt;0), IF(MOD(C12-C11, 1) &lt; 0.041, "(pause réduite)", ""), "")</f>
        <v/>
      </c>
      <c r="C11" s="44">
        <v>0</v>
      </c>
      <c r="D11" s="31"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">
        <f>IF(AND(D8=0, D9=0), 0/24, (IF(D11=0/24,0/24,IF((MOD(D11-D9,1))&gt;=11/24,0/24,11/24-(MOD(D11-D9,1))))))</f>
        <v>0</v>
      </c>
      <c r="H11" s="45">
        <v>0</v>
      </c>
    </row>
    <row r="12" spans="1:9" ht="17" customHeight="1">
      <c r="A12" s="32">
        <f>IF(AND(DATE(YEAR(A9),MONTH(A9),DAY(A9))&lt;DATE(YEAR(D3),MONTH(D3),DAY(D3)), A9&lt;&gt;""),DATE(YEAR(D2),MONTH(D2),DAY(D2)+2), "")</f>
        <v>43832</v>
      </c>
      <c r="B12" s="72" t="str">
        <f>IF(E12="", "","(journée continue)")</f>
        <v/>
      </c>
      <c r="C12" s="168">
        <f>IF(OR(AND(D11=0/24, D12=0/24,), AND(C11=0/24, D12=0/24), (MOD(D12-C11,24) =D12)), 0/24, C11+1/24)</f>
        <v>0</v>
      </c>
      <c r="D12" s="37">
        <v>0</v>
      </c>
      <c r="E12" s="173" t="str">
        <f>IF(SUM(D13,E13)=0/24,"",SUM(D13,E13))</f>
        <v/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69"/>
      <c r="H12" s="16"/>
    </row>
    <row r="13" spans="1:9" ht="17" customHeight="1">
      <c r="A13" s="33">
        <f>IF(A12 = "", Deb, IF(A12&gt;DATE(YEAR(A12),3,31),IF(A12&lt;DATE(YEAR(A12),10,1),22/24,20/24),20/24))</f>
        <v>0.83333333333333337</v>
      </c>
      <c r="B13" s="4" t="str">
        <f>IF(A12 &lt;&gt; "", IF(A11="DIMANCHE", "(majoration dimanche)", ""), "")</f>
        <v/>
      </c>
      <c r="C13" s="34">
        <f>IF(C12 = C11, (MOD(D12-D11,1)),0)</f>
        <v>0</v>
      </c>
      <c r="D13" s="35">
        <f>IF(C11=0 / 24,0,IF((MOD(C11-D11,1))&lt;6 / 24,0,B33))</f>
        <v>0</v>
      </c>
      <c r="E13" s="17">
        <f>IF(C13&gt;=(6/24),B33,(IF(C11 = C12, IF(MOD(D12-D11, 1) &lt;6/24, 0, B33), IF((MOD(D12-C12,1))&lt;6/24,0,B33))))</f>
        <v>0</v>
      </c>
      <c r="F13" s="4" t="str">
        <f>IF(F12=" "," ","(minoration repas nuit)")</f>
        <v xml:space="preserve"> </v>
      </c>
      <c r="G13" s="73"/>
      <c r="H13" s="18">
        <f>IF(E11&lt;=10/24,0/24,E11-10/24)</f>
        <v>0</v>
      </c>
    </row>
    <row r="14" spans="1:9" ht="17" customHeight="1">
      <c r="A14" s="30" t="str">
        <f>CHOOSE(WEEKDAY(A6+3,2),"LUNDI","MARDI","MERCREDI","JEUDI","VENDREDI","SAMEDI","DIMANCHE")</f>
        <v>JEUDI</v>
      </c>
      <c r="B14" s="36" t="str">
        <f>IF(OR(C14&lt;&gt;0, C15 &lt;&gt;0), IF(MOD(C15-C14, 1) &lt; 0.041, "(pause réduite)", ""), "")</f>
        <v/>
      </c>
      <c r="C14" s="44">
        <v>0</v>
      </c>
      <c r="D14" s="31"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45">
        <v>0</v>
      </c>
    </row>
    <row r="15" spans="1:9" ht="17" customHeight="1">
      <c r="A15" s="32">
        <f>IF(A12&lt;&gt; "", (IF(DATE(YEAR(A12),MONTH(A12),DAY(A12))&lt;DATE(YEAR(D3),MONTH(D3),DAY(D3)),DATE(YEAR(D2),MONTH(D2),(DAY(D2)+3)), "")), "")</f>
        <v>43833</v>
      </c>
      <c r="B15" s="72" t="str">
        <f>IF(E15="", "","(journée continue)")</f>
        <v/>
      </c>
      <c r="C15" s="168">
        <f>IF(OR(AND(D14=0/24, D15=0/24,), AND(C14=0/24, D15=0/24), (MOD(D15-C14,24) =D15)), 0/24, C14+1/24)</f>
        <v>0</v>
      </c>
      <c r="D15" s="37">
        <v>0</v>
      </c>
      <c r="E15" s="173" t="str">
        <f>IF(SUM(D16,E16)=0/24,"",SUM(D16,E16))</f>
        <v/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69"/>
      <c r="H15" s="16"/>
    </row>
    <row r="16" spans="1:9" ht="17" customHeight="1">
      <c r="A16" s="33">
        <f>IF(A15 = "", Deb, IF(A15&gt;DATE(YEAR(A15),3,31),IF(A15&lt;DATE(YEAR(A15),10,1),22/24,20/24),20/24))</f>
        <v>0.83333333333333337</v>
      </c>
      <c r="B16" s="4" t="str">
        <f>IF(A15 &lt;&gt; "", IF(A14="DIMANCHE", "(majoration dimanche)", ""), "")</f>
        <v/>
      </c>
      <c r="C16" s="34">
        <f>IF(C14 = C15, (MOD(D15-D14,1)),0)</f>
        <v>0</v>
      </c>
      <c r="D16" s="35">
        <f>IF(C14=0 / 24,0,IF((MOD(C14-D14,1))&lt;6 / 24,0,B33))</f>
        <v>0</v>
      </c>
      <c r="E16" s="17">
        <f>IF(C16&gt;=(6/24),B33,(IF(C15 = C14, IF(MOD(D15-D14, 1) &lt;6/24, 0, B33), IF((MOD(D15-C15,1))&lt;6/24,0,B33))))</f>
        <v>0</v>
      </c>
      <c r="F16" s="4" t="str">
        <f>IF(F15=" "," ","(minoration repas nuit)")</f>
        <v xml:space="preserve"> </v>
      </c>
      <c r="G16" s="17"/>
      <c r="H16" s="18">
        <f>IF(E14&lt;=10/24,0/24,E14-10/24)</f>
        <v>0</v>
      </c>
      <c r="I16" s="49"/>
    </row>
    <row r="17" spans="1:9" ht="17" customHeight="1">
      <c r="A17" s="30" t="str">
        <f>CHOOSE(WEEKDAY(A6+4,2),"LUNDI","MARDI","MERCREDI","JEUDI","VENDREDI","SAMEDI","DIMANCHE")</f>
        <v>VENDREDI</v>
      </c>
      <c r="B17" s="36" t="str">
        <f>IF(OR(C17&lt;&gt;0, C18 &lt;&gt;0), IF(MOD(C18-C17, 1) &lt; 0.041, "(pause réduite)", ""), "")</f>
        <v/>
      </c>
      <c r="C17" s="44">
        <v>0</v>
      </c>
      <c r="D17" s="31"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0/24,(IF(D17=0/24,0/24,IF((MOD(D17-D15,1))&gt;=11/24,0/24,11/24-(MOD(D17-D15,1))))))</f>
        <v>0</v>
      </c>
      <c r="H17" s="45">
        <v>0</v>
      </c>
      <c r="I17" s="49"/>
    </row>
    <row r="18" spans="1:9" ht="17" customHeight="1">
      <c r="A18" s="32">
        <f>IF(A15&lt;&gt; "", (IF(DATE(YEAR(A15),MONTH(A15),DAY(A15))&lt;DATE(YEAR(D3),MONTH(D3),DAY(D3)),DATE(YEAR(D2),MONTH(D2),(DAY(D2)+4)), "")), "")</f>
        <v>43834</v>
      </c>
      <c r="B18" s="72" t="str">
        <f>IF(E18="", "","(journée continue)")</f>
        <v/>
      </c>
      <c r="C18" s="168">
        <f>IF(OR(AND(D17=0/24, D18=0/24,), AND(C17=0/24, D18=0/24), (MOD(D18-C17,24) =D18)), 0/24, C17+1/24)</f>
        <v>0</v>
      </c>
      <c r="D18" s="37">
        <v>0</v>
      </c>
      <c r="E18" s="173" t="str">
        <f>IF(SUM(D19,E19)=0/24,"",SUM(D19,E19))</f>
        <v/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69"/>
      <c r="H18" s="16"/>
      <c r="I18" s="38"/>
    </row>
    <row r="19" spans="1:9" ht="17" customHeight="1">
      <c r="A19" s="33">
        <f>IF(A18 = "", Deb, IF(A18&gt;DATE(YEAR(A18),3,31),IF(A18&lt;DATE(YEAR(A18),10,1),22/24,20/24),20/24))</f>
        <v>0.83333333333333337</v>
      </c>
      <c r="B19" s="4" t="str">
        <f>IF(A18 &lt;&gt; "", IF(A17="DIMANCHE", "(majoration dimanche)", ""), "")</f>
        <v/>
      </c>
      <c r="C19" s="34">
        <f>IF(C17 = C18, (MOD(D18-D17,1)),0)</f>
        <v>0</v>
      </c>
      <c r="D19" s="35">
        <f>IF(C17=0 / 24,0,IF((MOD(C17-D17,1))&lt;6 / 24,0,B33))</f>
        <v>0</v>
      </c>
      <c r="E19" s="17">
        <f>IF(C19&gt;=(6/24),B33,(IF(C17 = C18, IF(MOD(D18-D17, 1) &lt;6/24, 0, B33), IF((MOD(D18-C18,1))&lt;6/24,0,B33))))</f>
        <v>0</v>
      </c>
      <c r="F19" s="4" t="str">
        <f>IF(F18=" "," ","(minoration repas nuit)")</f>
        <v xml:space="preserve"> </v>
      </c>
      <c r="G19" s="74"/>
      <c r="H19" s="18">
        <f>IF(E17&lt;=10/24,0/24,E17-10/24)</f>
        <v>0</v>
      </c>
    </row>
    <row r="20" spans="1:9" ht="17" customHeight="1">
      <c r="A20" s="30" t="str">
        <f>CHOOSE(WEEKDAY(A6+5,2),"LUNDI","MARDI","MERCREDI","JEUDI","VENDREDI","SAMEDI","DIMANCHE")</f>
        <v>SAMEDI</v>
      </c>
      <c r="B20" s="36" t="str">
        <f>IF(OR(C20&lt;&gt;0, C21 &lt;&gt;0), IF(MOD(C21-C20, 1) &lt; 0.041, "(pause réduite)", ""), "")</f>
        <v/>
      </c>
      <c r="C20" s="44">
        <v>0</v>
      </c>
      <c r="D20" s="31"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(IF(D20=0/24,0/24,IF((MOD(D20-D18,1))&gt;=11/24,0/24, 11/24-(MOD(D20-D18,1))))))</f>
        <v>0</v>
      </c>
      <c r="H20" s="45">
        <v>0</v>
      </c>
    </row>
    <row r="21" spans="1:9" ht="17" customHeight="1">
      <c r="A21" s="32">
        <f>IF(A18&lt;&gt; "", (IF(DATE(YEAR(A18),MONTH(A18),DAY(A18))&lt;DATE(YEAR(D3),MONTH(D3),DAY(D3)),DATE(YEAR(D2),MONTH(D2),(DAY(D2)+5)), "")), "")</f>
        <v>43835</v>
      </c>
      <c r="B21" s="72" t="str">
        <f>IF(E21="", "","(journée continue)")</f>
        <v/>
      </c>
      <c r="C21" s="168">
        <f>IF(OR(AND(D20=0/24, D21=0/24,), AND(C20=0/24, D21=0/24), (MOD(D21-C20,24) =D21)), 0/24, C20+1/24)</f>
        <v>0</v>
      </c>
      <c r="D21" s="37">
        <v>0</v>
      </c>
      <c r="E21" s="173" t="str">
        <f>IF(SUM(D22,E22)=0/24,"",SUM(D22,E22))</f>
        <v/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69"/>
      <c r="H21" s="19"/>
      <c r="I21" s="49"/>
    </row>
    <row r="22" spans="1:9" ht="17" customHeight="1">
      <c r="A22" s="33">
        <f>IF(A21="", Deb, IF(A21&gt;DATE(YEAR(A21),3,20),IF(A21&lt;DATE(YEAR(A21),12,21),22 / 24,20 / 24),20 /24))</f>
        <v>0.83333333333333337</v>
      </c>
      <c r="B22" s="4" t="str">
        <f>IF(A21&lt;&gt;"",IF(A20="DIMANCHE","(majoration dimanche)",""), "")</f>
        <v/>
      </c>
      <c r="C22" s="34">
        <f>IF(C20 = C21, (MOD(D21-D20,1)),0)</f>
        <v>0</v>
      </c>
      <c r="D22" s="35">
        <f>IF(C20=0 / 24,0,IF((MOD(C20-D20,1))&lt;6 / 24,0,B33))</f>
        <v>0</v>
      </c>
      <c r="E22" s="17">
        <f>IF(C22&gt;=(6 / 24),B33,(IF(C21 = C20, IF(MOD(D21-D20, 1) &lt;6/24, 0, B33), IF((MOD(D21-C21,1))&lt;6/24,0,B33))))</f>
        <v>0</v>
      </c>
      <c r="F22" s="4" t="str">
        <f>IF(F21=" "," ","(minoration repas nuit)")</f>
        <v xml:space="preserve"> </v>
      </c>
      <c r="G22" s="17"/>
      <c r="H22" s="18">
        <f>IF(E20&lt;=10/24,0/24,E20-10/24)</f>
        <v>0</v>
      </c>
    </row>
    <row r="23" spans="1:9" ht="17" customHeight="1">
      <c r="A23" s="30" t="str">
        <f>CHOOSE(WEEKDAY(A9+5,2),"LUNDI","MARDI","MERCREDI","JEUDI","VENDREDI","SAMEDI","DIMANCHE")</f>
        <v>DIMANCHE</v>
      </c>
      <c r="B23" s="36" t="str">
        <f>IF(OR(C23&lt;&gt;0, C24 &lt;&gt;0,), IF(MOD(C24-C23, 1) &lt; 0.041, "(pause réduite)", ""), "")</f>
        <v/>
      </c>
      <c r="C23" s="44">
        <v>0</v>
      </c>
      <c r="D23" s="31">
        <v>0</v>
      </c>
      <c r="E23" s="8">
        <f>IF(D23= " ",0/24,((MOD(D24-D23,1))-MOD(C24-C23,1)))</f>
        <v>0</v>
      </c>
      <c r="F23" s="8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8">
        <f>IF(AND(D20=0, D21=0),0/24, (IF(D23=0/24,0/24,IF((MOD(D23-D21,1))&gt;=11/24,0/24, 11/24-(MOD(D23-D21,1))))))</f>
        <v>0</v>
      </c>
      <c r="H23" s="45">
        <v>0</v>
      </c>
    </row>
    <row r="24" spans="1:9" ht="17" customHeight="1">
      <c r="A24" s="32">
        <f>IF(A21&lt;&gt; "", (IF(DATE(YEAR(A21),MONTH(A21),DAY(A21))&lt;DATE(YEAR(D3),MONTH(D3),DAY(D3)),DATE(YEAR(D2),MONTH(D2),(DAY(D2)+6)), "")), "")</f>
        <v>43836</v>
      </c>
      <c r="B24" s="72" t="str">
        <f>IF(E24="", "","(journée continue)")</f>
        <v/>
      </c>
      <c r="C24" s="168">
        <f>IF(OR(AND(D23=0/24, D24=0/24,), AND(C23=0/24, D24=0/24), (MOD(D24-C23,24) =D24)), 0/24, C23+1/24)</f>
        <v>0</v>
      </c>
      <c r="D24" s="31">
        <v>0</v>
      </c>
      <c r="E24" s="173" t="str">
        <f>IF(SUM(D25,E25)=0/24,"",SUM(D25,E25))</f>
        <v/>
      </c>
      <c r="F24" s="8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69"/>
      <c r="H24" s="75"/>
    </row>
    <row r="25" spans="1:9" s="3" customFormat="1" ht="16">
      <c r="A25" s="33">
        <f>IF(A24="", Deb, IF(A24&gt;DATE(YEAR(A24),3,20),IF(A24&lt;DATE(YEAR(A24),12,21),22 / 24,20 / 24),20 /24))</f>
        <v>0.83333333333333337</v>
      </c>
      <c r="B25" s="4" t="str">
        <f>IF(A24&lt;&gt;"",IF(A23="DIMANCHE",IF(E23 &gt; 0/24, "(majoration dimanche)", ""),""),"")</f>
        <v/>
      </c>
      <c r="C25" s="34">
        <f>IF(C23 = C24, (MOD(D24-D23,1)),0)</f>
        <v>0</v>
      </c>
      <c r="D25" s="35">
        <f>IF(C23=0 / 24,0,IF((MOD(C23-D23,1))&lt;6 / 24,0,B33))</f>
        <v>0</v>
      </c>
      <c r="E25" s="17">
        <f>IF(C25&gt;=(6 / 24),B33,(IF(C24 = C23, IF(MOD(D24-D23, 1) &lt;6/24, 0, B33), IF((MOD(D24-C24,1))&lt;6/24,0,B33))))</f>
        <v>0</v>
      </c>
      <c r="F25" s="4" t="str">
        <f>IF(F24=" "," ","(minoration repas nuit)")</f>
        <v xml:space="preserve"> </v>
      </c>
      <c r="G25" s="17">
        <f>SUM(H25+H22+H19+H16+H13+H10+H7)</f>
        <v>0</v>
      </c>
      <c r="H25" s="18">
        <f>IF(E23&lt;=10/24,0/24,E23-10/24)</f>
        <v>0</v>
      </c>
    </row>
    <row r="26" spans="1:9" ht="17" customHeight="1" thickBot="1">
      <c r="A26" s="46"/>
      <c r="B26" s="76" t="str">
        <f>IF(H27 &gt;=6, "(maj 100% 6ème jour+recup.)", "")</f>
        <v/>
      </c>
      <c r="C26" s="174"/>
      <c r="D26" s="175" t="s">
        <v>10</v>
      </c>
      <c r="E26" s="176">
        <f>SUM(E5,E6,E8,E9,E11,E12,E14,E15,E17,E18,E20,E21,E23,E24)</f>
        <v>0</v>
      </c>
      <c r="F26" s="176">
        <f>SUM(F5,F6,F8,F9,F11,F12,F14,F15,F17,F18,F20,F21,F23,F24)</f>
        <v>0</v>
      </c>
      <c r="G26" s="177">
        <f>SUM(G5,G8,G11,G14,G17,G20,G23)</f>
        <v>0</v>
      </c>
      <c r="H26" s="178">
        <f>SUM(H24,H23,H21,H20,H18,H17,H15,H14,H12,H11,H9,H8,H6,H5)</f>
        <v>0</v>
      </c>
    </row>
    <row r="27" spans="1:9" ht="17" customHeight="1">
      <c r="A27" s="47">
        <f>IF(OR(D5=0, D5=""), IF(OR(D6=0, D6=""),  0, 36 / 60), 36/ 60)</f>
        <v>0</v>
      </c>
      <c r="B27" s="48">
        <f>IF(OR(D8=0, D8=""), IF(OR(D9=0, D9=""),  0, 36/60), 36/60)</f>
        <v>0</v>
      </c>
      <c r="C27" s="48">
        <f>IF(OR(D11=0, D11=""), IF(OR(D12=0, D12=""),  0, 36/60), 36/60)</f>
        <v>0</v>
      </c>
      <c r="D27" s="48">
        <f>IF(OR(D14=0, D14=""), IF(OR(D15=0, D15=""),  0, 36/ 60), 36/60)</f>
        <v>0</v>
      </c>
      <c r="E27" s="48">
        <f>IF(OR(D17=0, D17=""), IF(OR(D18=0, D18=""),  0, 36/ 60), 36/60)</f>
        <v>0</v>
      </c>
      <c r="F27" s="48">
        <f>IF(OR(D20=0, D20=""), IF(OR(D21=0, D21=""),  0, 36/60), 36/60)</f>
        <v>0</v>
      </c>
      <c r="G27" s="98">
        <f>IF(OR(D23=0, D23=""), IF(OR(D24=0, D24=""),  0, 36/60), 36/60)</f>
        <v>0</v>
      </c>
      <c r="H27" s="99">
        <f>IF(A27 &gt; 0, 1, 0) + IF(B27 &gt; 0, 1, 0) + IF(C27 &gt; 0, 1, 0) + IF(D27 &gt; 0, 1, 0) + IF(E27 &gt; 0, 1, 0) + IF(F27 &gt; 0, 1, 0) + IF(G27 &gt; 0, 1, 0)</f>
        <v>0</v>
      </c>
    </row>
    <row r="28" spans="1:9" ht="17" customHeight="1" thickBot="1">
      <c r="A28" s="77"/>
      <c r="B28" s="100">
        <f>IF(F6 &lt;&gt; " ", IF(F5&gt;8 / 24,F6+F5-8 / 24,0 /24),  IF(F5&gt;8 / 24,F5-8 / 24,0 /24))</f>
        <v>0</v>
      </c>
      <c r="C28" s="100">
        <f>IF(F15 &lt;&gt; " ", IF(F14&gt;8 / 24,F15+F14-8 / 24,0 /24), IF(F14&gt;8 / 24,F14-8 / 24,0 /24))</f>
        <v>0</v>
      </c>
      <c r="D28" s="100">
        <f>IF(F21 &lt;&gt; " ", IF(F20&gt;8 / 24,F21+F20-8 / 24,0 /24), IF(F20&gt;8 / 24,F20-8 / 24,0 /24))</f>
        <v>0</v>
      </c>
      <c r="E28" s="100">
        <f>IF(F24 &lt;&gt; " ", IF(F23&gt;8 / 24,F24+F23-8 / 24,0 /24), IF(F23&gt;8 / 24,F23-8 / 24,0 /24))</f>
        <v>0</v>
      </c>
      <c r="F28" s="101"/>
      <c r="G28" s="117"/>
      <c r="H28" s="122"/>
    </row>
    <row r="29" spans="1:9" s="3" customFormat="1" ht="17" customHeight="1" thickBot="1">
      <c r="A29" s="77"/>
      <c r="B29" s="100">
        <f>IF(F9 &lt;&gt; " ", IF(F8&gt;8 / 24,F9+F8-8 / 24,0 /24), IF(F8&gt;8 / 24,F8-8 / 24,0 /24) )</f>
        <v>0</v>
      </c>
      <c r="C29" s="56" t="s">
        <v>33</v>
      </c>
      <c r="D29" s="61" t="s">
        <v>50</v>
      </c>
      <c r="E29" s="57">
        <f>-IF(H27 &gt; 5, 4/24, (SUM(A27,B27,C27,D27,E27,F27,G27)/24))</f>
        <v>0</v>
      </c>
      <c r="F29" s="103"/>
      <c r="G29" s="113"/>
      <c r="H29" s="114"/>
    </row>
    <row r="30" spans="1:9" s="3" customFormat="1" ht="17" customHeight="1" thickBot="1">
      <c r="A30" s="77"/>
      <c r="B30" s="100">
        <f>IF(F12 &lt;&gt; " ", IF(F11&gt;8 / 24,F12+F11-8 / 24,0 /24),IF(F11&gt;8 / 24,F11-8 / 24,0 /24))</f>
        <v>0</v>
      </c>
      <c r="C30" s="58"/>
      <c r="D30" s="60" t="s">
        <v>51</v>
      </c>
      <c r="E30" s="59">
        <f>IF(E29 &lt; -3/24, IF(E26&lt;(56/24), 52/24, SUM(E26,E29)),  IF(E29=-3/24, (IF(E26&lt;(46/24), 43/24,SUM(E26,E29))),SUM(E26,E29)))</f>
        <v>0</v>
      </c>
      <c r="F30" s="103"/>
      <c r="G30" s="110"/>
      <c r="H30" s="115" t="s">
        <v>49</v>
      </c>
    </row>
    <row r="31" spans="1:9" s="3" customFormat="1" ht="17" customHeight="1">
      <c r="A31" s="78"/>
      <c r="B31" s="85" t="s">
        <v>65</v>
      </c>
      <c r="C31" s="79"/>
      <c r="D31" s="129" t="s">
        <v>37</v>
      </c>
      <c r="E31" s="93">
        <f>IF(E26&gt;35 / 24,35 / 24,E26)</f>
        <v>0</v>
      </c>
      <c r="F31" s="103"/>
      <c r="G31" s="110"/>
      <c r="H31" s="115" t="s">
        <v>27</v>
      </c>
    </row>
    <row r="32" spans="1:9" s="3" customFormat="1" ht="17" customHeight="1">
      <c r="A32" s="80"/>
      <c r="B32" s="171" t="s">
        <v>66</v>
      </c>
      <c r="C32" s="81" t="s">
        <v>38</v>
      </c>
      <c r="D32" s="130" t="s">
        <v>39</v>
      </c>
      <c r="E32" s="94">
        <f>IF(E26&gt;35 / 24,IF(E26&lt;43 / 24,E26-35 / 24,8 / 24),0 / 24)</f>
        <v>0</v>
      </c>
      <c r="F32" s="103"/>
      <c r="G32" s="110"/>
      <c r="H32" s="116" t="s">
        <v>13</v>
      </c>
    </row>
    <row r="33" spans="1:8" s="3" customFormat="1" ht="17" customHeight="1" thickBot="1">
      <c r="A33" s="78"/>
      <c r="B33" s="172">
        <v>2.0833333333333332E-2</v>
      </c>
      <c r="C33" s="82" t="s">
        <v>40</v>
      </c>
      <c r="D33" s="131" t="s">
        <v>41</v>
      </c>
      <c r="E33" s="95">
        <f>IF(E26&gt;48 / 24,5 / 24,IF(E26&gt;43 / 24,E26-43 / 24,0 / 24))</f>
        <v>0</v>
      </c>
      <c r="F33" s="103"/>
      <c r="G33" s="111"/>
      <c r="H33" s="112"/>
    </row>
    <row r="34" spans="1:8" s="3" customFormat="1" ht="17" customHeight="1">
      <c r="A34" s="80"/>
      <c r="C34" s="81" t="s">
        <v>42</v>
      </c>
      <c r="D34" s="130" t="s">
        <v>43</v>
      </c>
      <c r="E34" s="94">
        <f>IF(E26&gt;48 / 24,E26- 48 / 24,0 /24)</f>
        <v>0</v>
      </c>
      <c r="F34" s="103"/>
      <c r="G34" s="103"/>
      <c r="H34" s="104"/>
    </row>
    <row r="35" spans="1:8" s="3" customFormat="1" ht="17" customHeight="1" thickBot="1">
      <c r="A35" s="83"/>
      <c r="B35" s="105" t="str">
        <f>IF(Deb &lt; 0.9, "(Studio Agréé 21h à 6h)", "Studio de 22h à 6h")</f>
        <v>(Studio Agréé 21h à 6h)</v>
      </c>
      <c r="C35" s="127"/>
      <c r="D35" s="132" t="s">
        <v>48</v>
      </c>
      <c r="E35" s="128">
        <f>F26</f>
        <v>0</v>
      </c>
      <c r="F35" s="103"/>
      <c r="G35" s="103"/>
      <c r="H35" s="104"/>
    </row>
    <row r="36" spans="1:8" s="3" customFormat="1" ht="17" customHeight="1">
      <c r="A36" s="83"/>
      <c r="B36" s="85" t="s">
        <v>2</v>
      </c>
      <c r="C36" s="86"/>
      <c r="D36" s="133" t="s">
        <v>45</v>
      </c>
      <c r="E36" s="97">
        <f>G26</f>
        <v>0</v>
      </c>
      <c r="F36" s="103"/>
      <c r="G36" s="103"/>
      <c r="H36" s="104"/>
    </row>
    <row r="37" spans="1:8" s="3" customFormat="1" ht="17" customHeight="1">
      <c r="A37" s="83"/>
      <c r="B37" s="87">
        <f>IF(D2&gt;DATE(YEAR(D2),3,31),IF(D2&lt;DATE(YEAR(D2),10,1),22 / 24,20 / 24),20 /24)</f>
        <v>0.83333333333333337</v>
      </c>
      <c r="C37" s="88"/>
      <c r="D37" s="134" t="s">
        <v>44</v>
      </c>
      <c r="E37" s="96">
        <f>H26</f>
        <v>0</v>
      </c>
      <c r="F37" s="101"/>
      <c r="G37" s="101"/>
      <c r="H37" s="102"/>
    </row>
    <row r="38" spans="1:8" ht="17" customHeight="1">
      <c r="A38" s="89"/>
      <c r="B38" s="90" t="s">
        <v>1</v>
      </c>
      <c r="C38" s="91"/>
      <c r="D38" s="133" t="str">
        <f>IF(E38&lt;=1, "JOURNEE CONTINUE", "JOURNEES CONTINUES")</f>
        <v>JOURNEE CONTINUE</v>
      </c>
      <c r="E38" s="179">
        <f>SUM(E6,E9,E12,E15,E18,E21,E24)/B33</f>
        <v>0</v>
      </c>
      <c r="F38" s="101"/>
      <c r="G38" s="101"/>
      <c r="H38" s="102"/>
    </row>
    <row r="39" spans="1:8" ht="17" thickBot="1">
      <c r="A39" s="123"/>
      <c r="B39" s="92">
        <v>0.25</v>
      </c>
      <c r="C39" s="84"/>
      <c r="D39" s="134" t="s">
        <v>46</v>
      </c>
      <c r="E39" s="96">
        <v>0</v>
      </c>
      <c r="F39" s="101"/>
      <c r="G39" s="101"/>
      <c r="H39" s="102"/>
    </row>
    <row r="40" spans="1:8" ht="16.75" customHeight="1" thickBot="1">
      <c r="A40" s="170"/>
      <c r="B40" s="106"/>
      <c r="C40" s="108"/>
      <c r="D40" s="135" t="s">
        <v>47</v>
      </c>
      <c r="E40" s="109">
        <f>IF(B7&lt;&gt;"",E5,IF(B10&lt;&gt;"",E8,IF(B13&lt;&gt;"",E11,IF(B16&lt;&gt;"",E14,IF(B19&lt;&gt;"",E17,IF(B22&lt;&gt;"",E20, IF(B25&lt;&gt;"",E23, 0)))))))</f>
        <v>0</v>
      </c>
      <c r="F40" s="101"/>
      <c r="G40" s="101"/>
      <c r="H40" s="102"/>
    </row>
    <row r="41" spans="1:8">
      <c r="A41" s="123"/>
      <c r="B41" s="117"/>
      <c r="C41" s="117"/>
      <c r="D41" s="117"/>
      <c r="E41" s="117"/>
      <c r="F41" s="117"/>
      <c r="G41" s="117"/>
      <c r="H41" s="122"/>
    </row>
    <row r="42" spans="1:8">
      <c r="A42" s="124"/>
      <c r="B42" s="125"/>
      <c r="C42" s="125"/>
      <c r="D42" s="125"/>
      <c r="E42" s="125"/>
      <c r="F42" s="125"/>
      <c r="G42" s="125"/>
      <c r="H42" s="12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6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6"/>
    <pageSetUpPr fitToPage="1"/>
  </sheetPr>
  <dimension ref="A1:H42"/>
  <sheetViews>
    <sheetView zoomScale="75" zoomScaleNormal="75" workbookViewId="0">
      <selection activeCell="D24" sqref="D24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22" t="s">
        <v>6</v>
      </c>
      <c r="B1" s="20" t="str">
        <f>'1er Ass'!B1</f>
        <v>"Production"</v>
      </c>
      <c r="C1" s="40"/>
      <c r="D1" s="23" t="str">
        <f>'1er Ass'!D1</f>
        <v>Semaine N°</v>
      </c>
      <c r="E1" s="6" t="s">
        <v>4</v>
      </c>
      <c r="F1" s="20" t="str">
        <f>'1er Ass'!F1</f>
        <v>Caméra</v>
      </c>
      <c r="G1" s="41"/>
      <c r="H1" s="24"/>
    </row>
    <row r="2" spans="1:8" ht="20" customHeight="1">
      <c r="A2" s="25" t="s">
        <v>7</v>
      </c>
      <c r="B2" s="21" t="str">
        <f>'1er Ass'!B2</f>
        <v>"Film"</v>
      </c>
      <c r="C2" s="27" t="s">
        <v>30</v>
      </c>
      <c r="D2" s="26">
        <f>'1er Ass'!D2</f>
        <v>43830</v>
      </c>
      <c r="E2" s="27" t="s">
        <v>5</v>
      </c>
      <c r="F2" s="21" t="s">
        <v>16</v>
      </c>
      <c r="G2" s="42"/>
      <c r="H2" s="28"/>
    </row>
    <row r="3" spans="1:8" ht="20" customHeight="1" thickBot="1">
      <c r="A3" s="25"/>
      <c r="B3" s="42"/>
      <c r="C3" s="27" t="s">
        <v>31</v>
      </c>
      <c r="D3" s="67">
        <f>D2+DAY(5)</f>
        <v>43836</v>
      </c>
      <c r="E3" s="7"/>
      <c r="F3" s="43"/>
      <c r="G3" s="43"/>
      <c r="H3" s="29"/>
    </row>
    <row r="4" spans="1:8" ht="50" customHeight="1">
      <c r="A4" s="13" t="s">
        <v>0</v>
      </c>
      <c r="B4" s="5" t="s">
        <v>15</v>
      </c>
      <c r="C4" s="5" t="s">
        <v>28</v>
      </c>
      <c r="D4" s="5" t="s">
        <v>8</v>
      </c>
      <c r="E4" s="5" t="s">
        <v>32</v>
      </c>
      <c r="F4" s="5" t="s">
        <v>3</v>
      </c>
      <c r="G4" s="14" t="s">
        <v>9</v>
      </c>
      <c r="H4" s="15" t="s">
        <v>11</v>
      </c>
    </row>
    <row r="5" spans="1:8" s="3" customFormat="1" ht="23" customHeight="1">
      <c r="A5" s="30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44">
        <f>'1er Ass'!C5</f>
        <v>0</v>
      </c>
      <c r="D5" s="31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45">
        <f>'1er Ass'!H5</f>
        <v>0</v>
      </c>
    </row>
    <row r="6" spans="1:8" ht="17" customHeight="1">
      <c r="A6" s="32">
        <f>D2</f>
        <v>43830</v>
      </c>
      <c r="B6" s="68" t="str">
        <f>IF(E6="", "","(journée continue)")</f>
        <v/>
      </c>
      <c r="C6" s="168">
        <f>IF(OR(AND(D5=0/24, D6=0/24,), AND(C5=0/24, D6=0/24), (MOD(D6-C5,24) =D6)), 0/24, C5+1/24)</f>
        <v>0</v>
      </c>
      <c r="D6" s="37">
        <f>'1er Ass'!D6</f>
        <v>0</v>
      </c>
      <c r="E6" s="173" t="str">
        <f>IF(SUM(D7,E7)=0/24,"",SUM(D7,E7))</f>
        <v/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69"/>
      <c r="H6" s="16"/>
    </row>
    <row r="7" spans="1:8" ht="17" customHeight="1">
      <c r="A7" s="33">
        <f>IF(A6 = "", Deb, IF(A6&gt;DATE(YEAR(A6),3,31),IF(A6&lt;DATE(YEAR(A6),10,1),22/24,20/24),20/24))</f>
        <v>0.83333333333333337</v>
      </c>
      <c r="B7" s="70" t="str">
        <f>IF(A6 &lt;&gt; "", IF(A5="DIMANCHE", "(majoration dimanche)", ""), "")</f>
        <v/>
      </c>
      <c r="C7" s="34">
        <f>IF(C6 = C5, (MOD(D6-D5,1)),0)</f>
        <v>0</v>
      </c>
      <c r="D7" s="35">
        <f>IF(C5=0 / 24,0,IF((MOD(C5-D5,1))&lt;6 / 24,0,B33))</f>
        <v>0</v>
      </c>
      <c r="E7" s="17">
        <f>IF(C7&gt;=(6/24),B33,(IF(C5 = C6, IF(MOD(D6-D5, 1) &lt;6/24, 0, B33), IF((MOD(D6-C6,1))&lt;6/24,0,B33))))</f>
        <v>0</v>
      </c>
      <c r="F7" s="4" t="str">
        <f>IF(OR(F6=" ", F6=0)," ","(minoration repas nuit)")</f>
        <v xml:space="preserve"> </v>
      </c>
      <c r="G7" s="71"/>
      <c r="H7" s="18">
        <f>IF(E5&lt;=10/24,0/24,E5-10/24)</f>
        <v>0</v>
      </c>
    </row>
    <row r="8" spans="1:8" ht="17" customHeight="1">
      <c r="A8" s="30" t="str">
        <f>CHOOSE(WEEKDAY(A6+1,2),"LUNDI","MARDI","MERCREDI","JEUDI","VENDREDI","SAMEDI","DIMANCHE")</f>
        <v>MARDI</v>
      </c>
      <c r="B8" s="36" t="str">
        <f>IF(OR(C8&lt;&gt;0, C9 &lt;&gt;0), IF(MOD(C9-C8, 1) &lt; 0.041, "(pause réduite)", ""), "")</f>
        <v/>
      </c>
      <c r="C8" s="44">
        <f>'1er Ass'!C8</f>
        <v>0</v>
      </c>
      <c r="D8" s="31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45">
        <f>'1er Ass'!H8</f>
        <v>0</v>
      </c>
    </row>
    <row r="9" spans="1:8" ht="17" customHeight="1">
      <c r="A9" s="32">
        <f>IF(AND(DATE(YEAR(D2),MONTH(D2),DAY(D2))&lt;DATE(YEAR(D3),MONTH(D3),DAY(D3)), A6&lt;&gt;""),DATE(YEAR(D2),MONTH(D2),DAY(D2)+1),"")</f>
        <v>43831</v>
      </c>
      <c r="B9" s="72" t="str">
        <f>IF(E9="", "","(journée continue)")</f>
        <v/>
      </c>
      <c r="C9" s="168">
        <f>IF(OR(AND(D8=0/24, D9=0/24,), AND(C8=0/24, D9=0/24), (MOD(D9-C8,24) =D9)), 0/24, C8+1/24)</f>
        <v>0</v>
      </c>
      <c r="D9" s="37">
        <f>'1er Ass'!D9</f>
        <v>0</v>
      </c>
      <c r="E9" s="173" t="str">
        <f>IF(SUM(D10,E10)=0/24,"",SUM(D10,E10))</f>
        <v/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69"/>
      <c r="H9" s="16"/>
    </row>
    <row r="10" spans="1:8" ht="17" customHeight="1">
      <c r="A10" s="33">
        <f>IF(A9 = "", Deb, IF(A9&gt;DATE(YEAR(A9),3,31),IF(A9&lt;DATE(YEAR(A9),10,1),22/24,20/24),20/24))</f>
        <v>0.83333333333333337</v>
      </c>
      <c r="B10" s="70" t="str">
        <f>IF(A9 &lt;&gt; "", IF(A8="DIMANCHE", "(majoration dimanche)", ""), "")</f>
        <v/>
      </c>
      <c r="C10" s="34">
        <f>IF(C9 = C8, (MOD(D9-D8,1)),0)</f>
        <v>0</v>
      </c>
      <c r="D10" s="35">
        <f>IF(C8=0 / 24,0,IF((MOD(C8-D8,1))&lt;6 / 24,0,B33))</f>
        <v>0</v>
      </c>
      <c r="E10" s="34">
        <f>IF(C10&gt;=(6/24),B33,(IF(C8 = C9, IF(MOD(D9-D8, 1) &lt;6/24, 0, B33), IF((MOD(D9-C9,1))&lt;6/24,0,B33))))</f>
        <v>0</v>
      </c>
      <c r="F10" s="4" t="str">
        <f>IF(F9=" "," ","(minoration repas nuit)")</f>
        <v xml:space="preserve"> </v>
      </c>
      <c r="G10" s="71"/>
      <c r="H10" s="107">
        <f>IF(E8&lt;=10/24,0/24,E8-10/24)</f>
        <v>0</v>
      </c>
    </row>
    <row r="11" spans="1:8" ht="17" customHeight="1">
      <c r="A11" s="30" t="str">
        <f>CHOOSE(WEEKDAY(A6+2,2),"LUNDI","MARDI","MERCREDI","JEUDI","VENDREDI","SAMEDI","DIMANCHE")</f>
        <v>MERCREDI</v>
      </c>
      <c r="B11" s="36" t="str">
        <f>IF(OR(C11&lt;&gt;0, C12 &lt;&gt;0), IF(MOD(C12-C11, 1) &lt; 0.041, "(pause réduite)", ""), "")</f>
        <v/>
      </c>
      <c r="C11" s="44">
        <f>'1er Ass'!C11</f>
        <v>0</v>
      </c>
      <c r="D11" s="31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">
        <f>IF(AND(D8=0, D9=0), 0/24, (IF(D11=0/24,0/24,IF((MOD(D11-D9,1))&gt;=11/24,0/24,11/24-(MOD(D11-D9,1))))))</f>
        <v>0</v>
      </c>
      <c r="H11" s="45">
        <f>'1er Ass'!H11</f>
        <v>0</v>
      </c>
    </row>
    <row r="12" spans="1:8" ht="17" customHeight="1">
      <c r="A12" s="32">
        <f>IF(AND(DATE(YEAR(A9),MONTH(A9),DAY(A9))&lt;DATE(YEAR(D3),MONTH(D3),DAY(D3)), A9&lt;&gt;""),DATE(YEAR(D2),MONTH(D2),DAY(D2)+2), "")</f>
        <v>43832</v>
      </c>
      <c r="B12" s="72" t="str">
        <f>IF(E12="", "","(journée continue)")</f>
        <v/>
      </c>
      <c r="C12" s="169">
        <f>IF(OR(AND(D11=0/24, D12=0/24,), AND(C11=0/24, D12=0/24), (MOD(D12-C11,24) =D12)), 0/24, C11+1/24)</f>
        <v>0</v>
      </c>
      <c r="D12" s="37">
        <f>'1er Ass'!D12</f>
        <v>0</v>
      </c>
      <c r="E12" s="173" t="str">
        <f>IF(SUM(D13,E13)=0/24,"",SUM(D13,E13))</f>
        <v/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69"/>
      <c r="H12" s="16"/>
    </row>
    <row r="13" spans="1:8" ht="17" customHeight="1">
      <c r="A13" s="33">
        <f>IF(A12 = "", Deb, IF(A12&gt;DATE(YEAR(A12),3,31),IF(A12&lt;DATE(YEAR(A12),10,1),22/24,20/24),20/24))</f>
        <v>0.83333333333333337</v>
      </c>
      <c r="B13" s="4" t="str">
        <f>IF(A12 &lt;&gt; "", IF(A11="DIMANCHE", "(majoration dimanche)", ""), "")</f>
        <v/>
      </c>
      <c r="C13" s="34">
        <f>IF(C12 = C11, (MOD(D12-D11,1)),0)</f>
        <v>0</v>
      </c>
      <c r="D13" s="35">
        <f>IF(C11=0 / 24,0,IF((MOD(C11-D11,1))&lt;6 / 24,0,B33))</f>
        <v>0</v>
      </c>
      <c r="E13" s="17">
        <f>IF(C13&gt;=(6/24),B33,(IF(C11 = C12, IF(MOD(D12-D11, 1) &lt;6/24, 0, B33), IF((MOD(D12-C12,1))&lt;6/24,0,B33))))</f>
        <v>0</v>
      </c>
      <c r="F13" s="4" t="str">
        <f>IF(F12=" "," ","(minoration repas nuit)")</f>
        <v xml:space="preserve"> </v>
      </c>
      <c r="G13" s="73"/>
      <c r="H13" s="18">
        <f>IF(E11&lt;=10/24,0/24,E11-10/24)</f>
        <v>0</v>
      </c>
    </row>
    <row r="14" spans="1:8" ht="17" customHeight="1">
      <c r="A14" s="30" t="str">
        <f>CHOOSE(WEEKDAY(A6+3,2),"LUNDI","MARDI","MERCREDI","JEUDI","VENDREDI","SAMEDI","DIMANCHE")</f>
        <v>JEUDI</v>
      </c>
      <c r="B14" s="36" t="str">
        <f>IF(OR(C14&lt;&gt;0, C15 &lt;&gt;0), IF(MOD(C15-C14, 1) &lt; 0.041, "(pause réduite)", ""), "")</f>
        <v/>
      </c>
      <c r="C14" s="44">
        <f>'1er Ass'!C14</f>
        <v>0</v>
      </c>
      <c r="D14" s="31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45">
        <f>'1er Ass'!H14</f>
        <v>0</v>
      </c>
    </row>
    <row r="15" spans="1:8" ht="17" customHeight="1">
      <c r="A15" s="32">
        <f>IF(A12&lt;&gt; "", (IF(DATE(YEAR(A12),MONTH(A12),DAY(A12))&lt;DATE(YEAR(D3),MONTH(D3),DAY(D3)),DATE(YEAR(D2),MONTH(D2),(DAY(D2)+3)), "")), "")</f>
        <v>43833</v>
      </c>
      <c r="B15" s="72" t="str">
        <f>IF(E15="", "","(journée continue)")</f>
        <v/>
      </c>
      <c r="C15" s="168">
        <f>IF(OR(AND(D14=0/24, D15=0/24,), AND(C14=0/24, D15=0/24), (MOD(D15-C14,24) =D15)), 0/24, C14+1/24)</f>
        <v>0</v>
      </c>
      <c r="D15" s="37">
        <f>'1er Ass'!D15</f>
        <v>0</v>
      </c>
      <c r="E15" s="173" t="str">
        <f>IF(SUM(D16,E16)=0/24,"",SUM(D16,E16))</f>
        <v/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69"/>
      <c r="H15" s="16"/>
    </row>
    <row r="16" spans="1:8" ht="17" customHeight="1">
      <c r="A16" s="33">
        <f>IF(A15 = "", Deb, IF(A15&gt;DATE(YEAR(A15),3,31),IF(A15&lt;DATE(YEAR(A15),10,1),22/24,20/24),20/24))</f>
        <v>0.83333333333333337</v>
      </c>
      <c r="B16" s="4" t="str">
        <f>IF(A15 &lt;&gt; "", IF(A14="DIMANCHE", "(majoration dimanche)", ""), "")</f>
        <v/>
      </c>
      <c r="C16" s="34">
        <f>IF(C14 = C15, (MOD(D15-D14,1)),0)</f>
        <v>0</v>
      </c>
      <c r="D16" s="35">
        <f>IF(C14=0 / 24,0,IF((MOD(C14-D14,1))&lt;6 / 24,0,B33))</f>
        <v>0</v>
      </c>
      <c r="E16" s="17">
        <f>IF(C16&gt;=(6/24),B33,(IF(C15 = C14, IF(MOD(D15-D14, 1) &lt;6/24, 0, B33), IF((MOD(D15-C15,1))&lt;6/24,0,B33))))</f>
        <v>0</v>
      </c>
      <c r="F16" s="4" t="str">
        <f>IF(F15=" "," ","(minoration repas nuit)")</f>
        <v xml:space="preserve"> </v>
      </c>
      <c r="G16" s="17"/>
      <c r="H16" s="18">
        <f>IF(E14&lt;=10/24,0/24,E14-10/24)</f>
        <v>0</v>
      </c>
    </row>
    <row r="17" spans="1:8" ht="17" customHeight="1">
      <c r="A17" s="30" t="str">
        <f>CHOOSE(WEEKDAY(A6+4,2),"LUNDI","MARDI","MERCREDI","JEUDI","VENDREDI","SAMEDI","DIMANCHE")</f>
        <v>VENDREDI</v>
      </c>
      <c r="B17" s="36" t="str">
        <f>IF(OR(C17&lt;&gt;0, C18 &lt;&gt;0), IF(MOD(C18-C17, 1) &lt; 0.041, "(pause réduite)", ""), "")</f>
        <v/>
      </c>
      <c r="C17" s="44">
        <f>'1er Ass'!C17</f>
        <v>0</v>
      </c>
      <c r="D17" s="31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0/24,(IF(D17=0/24,0/24,IF((MOD(D17-D15,1))&gt;=11/24,0/24,11/24-(MOD(D17-D15,1))))))</f>
        <v>0</v>
      </c>
      <c r="H17" s="45">
        <f>'1er Ass'!H17</f>
        <v>0</v>
      </c>
    </row>
    <row r="18" spans="1:8" ht="17" customHeight="1">
      <c r="A18" s="32">
        <f>IF(A15&lt;&gt; "", (IF(DATE(YEAR(A15),MONTH(A15),DAY(A15))&lt;DATE(YEAR(D3),MONTH(D3),DAY(D3)),DATE(YEAR(D2),MONTH(D2),(DAY(D2)+4)), "")), "")</f>
        <v>43834</v>
      </c>
      <c r="B18" s="72" t="str">
        <f>IF(E18="", "","(journée continue)")</f>
        <v/>
      </c>
      <c r="C18" s="168">
        <f>IF(OR(AND(D17=0/24, D18=0/24,), AND(C17=0/24, D18=0/24), (MOD(D18-C17,24) =D18)), 0/24, C17+1/24)</f>
        <v>0</v>
      </c>
      <c r="D18" s="37">
        <f>'1er Ass'!D18</f>
        <v>0</v>
      </c>
      <c r="E18" s="173" t="str">
        <f>IF(SUM(D19,E19)=0/24,"",SUM(D19,E19))</f>
        <v/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69"/>
      <c r="H18" s="16"/>
    </row>
    <row r="19" spans="1:8" ht="17" customHeight="1">
      <c r="A19" s="33">
        <f>IF(A18 = "", Deb, IF(A18&gt;DATE(YEAR(A18),3,31),IF(A18&lt;DATE(YEAR(A18),10,1),22/24,20/24),20/24))</f>
        <v>0.83333333333333337</v>
      </c>
      <c r="B19" s="4" t="str">
        <f>IF(A18 &lt;&gt; "", IF(A17="DIMANCHE", "(majoration dimanche)", ""), "")</f>
        <v/>
      </c>
      <c r="C19" s="34">
        <f>IF(C17 = C18, (MOD(D18-D17,1)),0)</f>
        <v>0</v>
      </c>
      <c r="D19" s="35">
        <f>IF(C17=0 / 24,0,IF((MOD(C17-D17,1))&lt;6 / 24,0,B33))</f>
        <v>0</v>
      </c>
      <c r="E19" s="17">
        <f>IF(C19&gt;=(6/24),B33,(IF(C17 = C18, IF(MOD(D18-D17, 1) &lt;6/24, 0, B33), IF((MOD(D18-C18,1))&lt;6/24,0,B33))))</f>
        <v>0</v>
      </c>
      <c r="F19" s="4" t="str">
        <f>IF(F18=" "," ","(minoration repas nuit)")</f>
        <v xml:space="preserve"> </v>
      </c>
      <c r="G19" s="74"/>
      <c r="H19" s="18">
        <f>IF(E17&lt;=10/24,0/24,E17-10/24)</f>
        <v>0</v>
      </c>
    </row>
    <row r="20" spans="1:8" ht="17" customHeight="1">
      <c r="A20" s="30" t="str">
        <f>CHOOSE(WEEKDAY(A6+5,2),"LUNDI","MARDI","MERCREDI","JEUDI","VENDREDI","SAMEDI","DIMANCHE")</f>
        <v>SAMEDI</v>
      </c>
      <c r="B20" s="36" t="str">
        <f>IF(OR(C20&lt;&gt;0, C21 &lt;&gt;0), IF(MOD(C21-C20, 1) &lt; 0.041, "(pause réduite)", ""), "")</f>
        <v/>
      </c>
      <c r="C20" s="44">
        <f>'1er Ass'!C20</f>
        <v>0</v>
      </c>
      <c r="D20" s="31">
        <f>'1er Ass'!D20</f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(IF(D20=0/24,0/24,IF((MOD(D20-D18,1))&gt;=11/24,0/24, 11/24-(MOD(D20-D18,1))))))</f>
        <v>0</v>
      </c>
      <c r="H20" s="45">
        <f>'1er Ass'!H20</f>
        <v>0</v>
      </c>
    </row>
    <row r="21" spans="1:8" ht="17" customHeight="1">
      <c r="A21" s="32">
        <f>IF(A18&lt;&gt; "", (IF(DATE(YEAR(A18),MONTH(A18),DAY(A18))&lt;DATE(YEAR(D3),MONTH(D3),DAY(D3)),DATE(YEAR(D2),MONTH(D2),(DAY(D2)+5)), "")), "")</f>
        <v>43835</v>
      </c>
      <c r="B21" s="72" t="str">
        <f>IF(E21="", "","(journée continue)")</f>
        <v/>
      </c>
      <c r="C21" s="168">
        <f>IF(OR(AND(D20=0/24, D21=0/24,), AND(C20=0/24, D21=0/24), (MOD(D21-C20,24) =D21)), 0/24, C20+1/24)</f>
        <v>0</v>
      </c>
      <c r="D21" s="37">
        <f>'1er Ass'!D21</f>
        <v>0</v>
      </c>
      <c r="E21" s="173" t="str">
        <f>IF(SUM(D22,E22)=0/24,"",SUM(D22,E22))</f>
        <v/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69"/>
      <c r="H21" s="19"/>
    </row>
    <row r="22" spans="1:8" ht="17" customHeight="1">
      <c r="A22" s="33">
        <f>IF(A21="", Deb, IF(A21&gt;DATE(YEAR(A21),3,20),IF(A21&lt;DATE(YEAR(A21),12,21),22 / 24,20 / 24),20 /24))</f>
        <v>0.83333333333333337</v>
      </c>
      <c r="B22" s="4" t="str">
        <f>IF(A21&lt;&gt;"",IF(A20="DIMANCHE","(majoration dimanche)",""), "")</f>
        <v/>
      </c>
      <c r="C22" s="34">
        <f>IF(C20 = C21, (MOD(D21-D20,1)),0)</f>
        <v>0</v>
      </c>
      <c r="D22" s="35">
        <f>IF(C20=0 / 24,0,IF((MOD(C20-D20,1))&lt;6 / 24,0,B33))</f>
        <v>0</v>
      </c>
      <c r="E22" s="17">
        <f>IF(C22&gt;=(6 / 24),B33,(IF(C21 = C20, IF(MOD(D21-D20, 1) &lt;6/24, 0, B33), IF((MOD(D21-C21,1))&lt;6/24,0,B33))))</f>
        <v>0</v>
      </c>
      <c r="F22" s="4" t="str">
        <f>IF(F21=" "," ","(minoration repas nuit)")</f>
        <v xml:space="preserve"> </v>
      </c>
      <c r="G22" s="17"/>
      <c r="H22" s="18">
        <f>IF(E20&lt;=10/24,0/24,E20-10/24)</f>
        <v>0</v>
      </c>
    </row>
    <row r="23" spans="1:8" ht="17" customHeight="1">
      <c r="A23" s="30" t="str">
        <f>CHOOSE(WEEKDAY(A9+5,2),"LUNDI","MARDI","MERCREDI","JEUDI","VENDREDI","SAMEDI","DIMANCHE")</f>
        <v>DIMANCHE</v>
      </c>
      <c r="B23" s="36" t="str">
        <f>IF(OR(C23&lt;&gt;0, C24 &lt;&gt;0,), IF(MOD(C24-C23, 1) &lt; 0.041, "(pause réduite)", ""), "")</f>
        <v/>
      </c>
      <c r="C23" s="44">
        <f>'1er Ass'!C23</f>
        <v>0</v>
      </c>
      <c r="D23" s="31">
        <f>'1er Ass'!D23</f>
        <v>0</v>
      </c>
      <c r="E23" s="8">
        <f>IF(D23= " ",0/24,((MOD(D24-D23,1))-MOD(C24-C23,1)))</f>
        <v>0</v>
      </c>
      <c r="F23" s="8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8">
        <f>IF(AND(D20=0, D21=0),0/24, (IF(D23=0/24,0/24,IF((MOD(D23-D21,1))&gt;=11/24,0/24, 11/24-(MOD(D23-D21,1))))))</f>
        <v>0</v>
      </c>
      <c r="H23" s="45">
        <f>'1er Ass'!H23</f>
        <v>0</v>
      </c>
    </row>
    <row r="24" spans="1:8" ht="17" customHeight="1">
      <c r="A24" s="32">
        <f>IF(A21&lt;&gt; "", (IF(DATE(YEAR(A21),MONTH(A21),DAY(A21))&lt;DATE(YEAR(D3),MONTH(D3),DAY(D3)),DATE(YEAR(D2),MONTH(D2),(DAY(D2)+6)), "")), "")</f>
        <v>43836</v>
      </c>
      <c r="B24" s="72" t="str">
        <f>IF(E24="", "","(journée continue)")</f>
        <v/>
      </c>
      <c r="C24" s="168">
        <f>IF(OR(AND(D23=0/24, D24=0/24,), AND(C23=0/24, D24=0/24), (MOD(D24-C23,24) =D24)), 0/24, C23+1/24)</f>
        <v>0</v>
      </c>
      <c r="D24" s="31">
        <f>'1er Ass'!D24</f>
        <v>0</v>
      </c>
      <c r="E24" s="173" t="str">
        <f>IF(SUM(D25,E25)=0/24,"",SUM(D25,E25))</f>
        <v/>
      </c>
      <c r="F24" s="8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69"/>
      <c r="H24" s="75"/>
    </row>
    <row r="25" spans="1:8" s="3" customFormat="1" ht="17" thickBot="1">
      <c r="A25" s="33">
        <f>IF(A24="", Deb, IF(A24&gt;DATE(YEAR(A24),3,20),IF(A24&lt;DATE(YEAR(A24),12,21),22 / 24,20 / 24),20 /24))</f>
        <v>0.83333333333333337</v>
      </c>
      <c r="B25" s="4" t="str">
        <f>IF(A24&lt;&gt;"",IF(A23="DIMANCHE",IF(E23 &gt; 0/24, "(majoration dimanche)", ""),""),"")</f>
        <v/>
      </c>
      <c r="C25" s="34">
        <f>IF(C23 = C24, (MOD(D24-D23,1)),0)</f>
        <v>0</v>
      </c>
      <c r="D25" s="35">
        <f>IF(C23=0 / 24,0,IF((MOD(C23-D23,1))&lt;6 / 24,0,B33))</f>
        <v>0</v>
      </c>
      <c r="E25" s="17">
        <f>IF(C25&gt;=(6 / 24),B33,(IF(C24 = C23, IF(MOD(D24-D23, 1) &lt;6/24, 0, B33), IF((MOD(D24-C24,1))&lt;6/24,0,B33))))</f>
        <v>0</v>
      </c>
      <c r="F25" s="4" t="str">
        <f>IF(F24=" "," ","(minoration repas nuit)")</f>
        <v xml:space="preserve"> </v>
      </c>
      <c r="G25" s="17">
        <f>SUM(H25+H22+H19+H16+H13+H10+H7)</f>
        <v>0</v>
      </c>
      <c r="H25" s="18">
        <f>IF(E23&lt;=10/24,0/24,E23-10/24)</f>
        <v>0</v>
      </c>
    </row>
    <row r="26" spans="1:8" ht="17" customHeight="1">
      <c r="A26" s="46"/>
      <c r="B26" s="76" t="str">
        <f>IF(H27 &gt;=6, "(maj 100% 6ème jour+recup.)", "")</f>
        <v/>
      </c>
      <c r="C26" s="118"/>
      <c r="D26" s="119" t="s">
        <v>10</v>
      </c>
      <c r="E26" s="120">
        <f>SUM(E5,E6,E8,E9,E11,E12,E14,E15,E17,E18,E20,E21,E23,E24)</f>
        <v>0</v>
      </c>
      <c r="F26" s="120">
        <f>SUM(F5,F6,F8,F9,F11,F12,F14,F15,F17,F18,F20,F21,F23,F24)</f>
        <v>0</v>
      </c>
      <c r="G26" s="121">
        <f>SUM(G5,G8,G11,G14,G17,G20,G23)</f>
        <v>0</v>
      </c>
      <c r="H26" s="120">
        <f>SUM(H24,H23,H21,H20,H18,H17,H15,H14,H12,H11,H9,H8,H6,H5)</f>
        <v>0</v>
      </c>
    </row>
    <row r="27" spans="1:8" ht="17" customHeight="1">
      <c r="A27" s="47">
        <f>IF(OR(D5=0, D5=""), IF(OR(D6=0, D6=""),  0, 36 / 60), 36/ 60)</f>
        <v>0</v>
      </c>
      <c r="B27" s="48">
        <f>IF(OR(D8=0, D8=""), IF(OR(D9=0, D9=""),  0, 36/60), 36/60)</f>
        <v>0</v>
      </c>
      <c r="C27" s="48">
        <f>IF(OR(D11=0, D11=""), IF(OR(D12=0, D12=""),  0, 36/60), 36/60)</f>
        <v>0</v>
      </c>
      <c r="D27" s="48">
        <f>IF(OR(D14=0, D14=""), IF(OR(D15=0, D15=""),  0, 36/ 60), 36/60)</f>
        <v>0</v>
      </c>
      <c r="E27" s="48">
        <f>IF(OR(D17=0, D17=""), IF(OR(D18=0, D18=""),  0, 36/ 60), 36/60)</f>
        <v>0</v>
      </c>
      <c r="F27" s="48">
        <f>IF(OR(D20=0, D20=""), IF(OR(D21=0, D21=""),  0, 36/60), 36/60)</f>
        <v>0</v>
      </c>
      <c r="G27" s="98">
        <f>IF(OR(D23=0, D23=""), IF(OR(D24=0, D24=""),  0, 36/60), 36/60)</f>
        <v>0</v>
      </c>
      <c r="H27" s="99">
        <f>IF(A27 &gt; 0, 1, 0) + IF(B27 &gt; 0, 1, 0) + IF(C27 &gt; 0, 1, 0) + IF(D27 &gt; 0, 1, 0) + IF(E27 &gt; 0, 1, 0) + IF(F27 &gt; 0, 1, 0) + IF(G27 &gt; 0, 1, 0)</f>
        <v>0</v>
      </c>
    </row>
    <row r="28" spans="1:8" ht="17" customHeight="1" thickBot="1">
      <c r="A28" s="77"/>
      <c r="B28" s="100">
        <f>IF(F6 &lt;&gt; " ", IF(F5&gt;8 / 24,F6+F5-8 / 24,0 /24),  IF(F5&gt;8 / 24,F5-8 / 24,0 /24))</f>
        <v>0</v>
      </c>
      <c r="C28" s="100">
        <f>IF(F15 &lt;&gt; " ", IF(F14&gt;8 / 24,F15+F14-8 / 24,0 /24), IF(F14&gt;8 / 24,F14-8 / 24,0 /24))</f>
        <v>0</v>
      </c>
      <c r="D28" s="100">
        <f>IF(F21 &lt;&gt; " ", IF(F20&gt;8 / 24,F21+F20-8 / 24,0 /24), IF(F20&gt;8 / 24,F20-8 / 24,0 /24))</f>
        <v>0</v>
      </c>
      <c r="E28" s="100">
        <f>IF(F24 &lt;&gt; " ", IF(F23&gt;8 / 24,F24+F23-8 / 24,0 /24), IF(F23&gt;8 / 24,F23-8 / 24,0 /24))</f>
        <v>0</v>
      </c>
      <c r="F28" s="101"/>
      <c r="G28" s="117"/>
      <c r="H28" s="122"/>
    </row>
    <row r="29" spans="1:8" s="3" customFormat="1" ht="17" customHeight="1" thickBot="1">
      <c r="A29" s="77"/>
      <c r="B29" s="100">
        <f>IF(F9 &lt;&gt; " ", IF(F8&gt;8 / 24,F9+F8-8 / 24,0 /24), IF(F8&gt;8 / 24,F8-8 / 24,0 /24) )</f>
        <v>0</v>
      </c>
      <c r="C29" s="56" t="s">
        <v>33</v>
      </c>
      <c r="D29" s="61" t="s">
        <v>50</v>
      </c>
      <c r="E29" s="57">
        <f>-IF(H27 &gt; 5, 4/24, (SUM(A27,B27,C27,D27,E27,F27,G27)/24))</f>
        <v>0</v>
      </c>
      <c r="F29" s="103"/>
      <c r="G29" s="113"/>
      <c r="H29" s="114"/>
    </row>
    <row r="30" spans="1:8" s="3" customFormat="1" ht="17" customHeight="1" thickBot="1">
      <c r="A30" s="77"/>
      <c r="B30" s="100">
        <f>IF(F12 &lt;&gt; " ", IF(F11&gt;8 / 24,F12+F11-8 / 24,0 /24),IF(F11&gt;8 / 24,F11-8 / 24,0 /24))</f>
        <v>0</v>
      </c>
      <c r="C30" s="58"/>
      <c r="D30" s="60" t="s">
        <v>51</v>
      </c>
      <c r="E30" s="59">
        <f>IF(E29 &lt; -3/24, IF(E26&lt;(56/24), 52/24, SUM(E26,E29)),  IF(E29=-3/24, (IF(E26&lt;(46/24), 43/24,SUM(E26,E29))),SUM(E26,E29)))</f>
        <v>0</v>
      </c>
      <c r="F30" s="103"/>
      <c r="G30" s="110"/>
      <c r="H30" s="115" t="s">
        <v>49</v>
      </c>
    </row>
    <row r="31" spans="1:8" s="3" customFormat="1" ht="17" customHeight="1">
      <c r="A31" s="78"/>
      <c r="B31" s="85" t="s">
        <v>65</v>
      </c>
      <c r="C31" s="79"/>
      <c r="D31" s="129" t="s">
        <v>37</v>
      </c>
      <c r="E31" s="93">
        <f>IF(E26&gt;35 / 24,35 / 24,E26)</f>
        <v>0</v>
      </c>
      <c r="F31" s="103"/>
      <c r="G31" s="110"/>
      <c r="H31" s="115" t="s">
        <v>27</v>
      </c>
    </row>
    <row r="32" spans="1:8" s="3" customFormat="1" ht="17" customHeight="1">
      <c r="A32" s="80"/>
      <c r="B32" s="171" t="s">
        <v>66</v>
      </c>
      <c r="C32" s="81" t="s">
        <v>38</v>
      </c>
      <c r="D32" s="130" t="s">
        <v>39</v>
      </c>
      <c r="E32" s="94">
        <f>IF(E26&gt;35 / 24,IF(E26&lt;43 / 24,E26-35 / 24,8 / 24),0 / 24)</f>
        <v>0</v>
      </c>
      <c r="F32" s="103"/>
      <c r="G32" s="110"/>
      <c r="H32" s="116" t="s">
        <v>13</v>
      </c>
    </row>
    <row r="33" spans="1:8" s="3" customFormat="1" ht="17" customHeight="1" thickBot="1">
      <c r="A33" s="78"/>
      <c r="B33" s="172">
        <v>2.0833333333333332E-2</v>
      </c>
      <c r="C33" s="82" t="s">
        <v>40</v>
      </c>
      <c r="D33" s="131" t="s">
        <v>41</v>
      </c>
      <c r="E33" s="95">
        <f>IF(E26&gt;48 / 24,5 / 24,IF(E26&gt;43 / 24,E26-43 / 24,0 / 24))</f>
        <v>0</v>
      </c>
      <c r="F33" s="103"/>
      <c r="G33" s="111"/>
      <c r="H33" s="112"/>
    </row>
    <row r="34" spans="1:8" s="3" customFormat="1" ht="17" customHeight="1">
      <c r="A34" s="80"/>
      <c r="C34" s="81" t="s">
        <v>42</v>
      </c>
      <c r="D34" s="130" t="s">
        <v>43</v>
      </c>
      <c r="E34" s="94">
        <f>IF(E26&gt;48 / 24,E26- 48 / 24,0 /24)</f>
        <v>0</v>
      </c>
      <c r="F34" s="103"/>
      <c r="G34" s="103"/>
      <c r="H34" s="104"/>
    </row>
    <row r="35" spans="1:8" s="3" customFormat="1" ht="17" customHeight="1" thickBot="1">
      <c r="A35" s="83"/>
      <c r="B35" s="105" t="str">
        <f>IF(Deb &lt; 0.9, "(Studio Agréé 21h à 6h)", "Studio de 22h à 6h")</f>
        <v>(Studio Agréé 21h à 6h)</v>
      </c>
      <c r="C35" s="127"/>
      <c r="D35" s="132" t="s">
        <v>48</v>
      </c>
      <c r="E35" s="128">
        <f>F26</f>
        <v>0</v>
      </c>
      <c r="F35" s="103"/>
      <c r="G35" s="103"/>
      <c r="H35" s="104"/>
    </row>
    <row r="36" spans="1:8" s="3" customFormat="1" ht="17" customHeight="1">
      <c r="A36" s="83"/>
      <c r="B36" s="85" t="s">
        <v>2</v>
      </c>
      <c r="C36" s="86"/>
      <c r="D36" s="133" t="s">
        <v>45</v>
      </c>
      <c r="E36" s="97">
        <f>G26</f>
        <v>0</v>
      </c>
      <c r="F36" s="103"/>
      <c r="G36" s="103"/>
      <c r="H36" s="104"/>
    </row>
    <row r="37" spans="1:8" s="3" customFormat="1" ht="17" customHeight="1">
      <c r="A37" s="83"/>
      <c r="B37" s="87">
        <f>IF(D2&gt;DATE(YEAR(D2),3,31),IF(D2&lt;DATE(YEAR(D2),10,1),22 / 24,20 / 24),20 /24)</f>
        <v>0.83333333333333337</v>
      </c>
      <c r="C37" s="88"/>
      <c r="D37" s="134" t="s">
        <v>44</v>
      </c>
      <c r="E37" s="96">
        <f>H26</f>
        <v>0</v>
      </c>
      <c r="F37" s="101"/>
      <c r="G37" s="101"/>
      <c r="H37" s="102"/>
    </row>
    <row r="38" spans="1:8" ht="17" customHeight="1">
      <c r="A38" s="89"/>
      <c r="B38" s="90" t="s">
        <v>1</v>
      </c>
      <c r="C38" s="91"/>
      <c r="D38" s="133" t="str">
        <f>IF(E38&lt;=1, "JOURNEE CONTINUE", "JOURNEES CONTINUES")</f>
        <v>JOURNEE CONTINUE</v>
      </c>
      <c r="E38" s="179">
        <f>SUM(E6,E9,E12,E15,E18,E21,E24)/B33</f>
        <v>0</v>
      </c>
      <c r="F38" s="101"/>
      <c r="G38" s="101"/>
      <c r="H38" s="102"/>
    </row>
    <row r="39" spans="1:8" ht="17" thickBot="1">
      <c r="A39" s="123"/>
      <c r="B39" s="92">
        <v>0.25</v>
      </c>
      <c r="C39" s="84"/>
      <c r="D39" s="134" t="s">
        <v>46</v>
      </c>
      <c r="E39" s="96">
        <v>0</v>
      </c>
      <c r="F39" s="101"/>
      <c r="G39" s="101"/>
      <c r="H39" s="102"/>
    </row>
    <row r="40" spans="1:8" ht="17" thickBot="1">
      <c r="A40" s="170"/>
      <c r="B40" s="106"/>
      <c r="C40" s="108"/>
      <c r="D40" s="135" t="s">
        <v>47</v>
      </c>
      <c r="E40" s="109">
        <f>IF(B7&lt;&gt;"",E5,IF(B10&lt;&gt;"",E8,IF(B13&lt;&gt;"",E11,IF(B16&lt;&gt;"",E14,IF(B19&lt;&gt;"",E17,IF(B22&lt;&gt;"",E20, IF(B25&lt;&gt;"",E23, 0)))))))</f>
        <v>0</v>
      </c>
      <c r="F40" s="101"/>
      <c r="G40" s="101"/>
      <c r="H40" s="102"/>
    </row>
    <row r="41" spans="1:8">
      <c r="A41" s="123"/>
      <c r="B41" s="117"/>
      <c r="C41" s="117"/>
      <c r="D41" s="117"/>
      <c r="E41" s="117"/>
      <c r="F41" s="117"/>
      <c r="G41" s="117"/>
      <c r="H41" s="122"/>
    </row>
    <row r="42" spans="1:8">
      <c r="A42" s="124"/>
      <c r="B42" s="125"/>
      <c r="C42" s="125"/>
      <c r="D42" s="125"/>
      <c r="E42" s="125"/>
      <c r="F42" s="125"/>
      <c r="G42" s="125"/>
      <c r="H42" s="126"/>
    </row>
  </sheetData>
  <sheetProtection sheet="1" selectLockedCells="1"/>
  <phoneticPr fontId="1"/>
  <printOptions horizontalCentered="1"/>
  <pageMargins left="0" right="0" top="0.15748031496062992" bottom="0.15748031496062992" header="0.11811023622047244" footer="0.11811023622047244"/>
  <pageSetup paperSize="9" scale="76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086-9DA2-2243-95E0-1BD8F4943EAE}">
  <sheetPr codeName="Feuil4">
    <tabColor theme="5"/>
    <pageSetUpPr fitToPage="1"/>
  </sheetPr>
  <dimension ref="A1:H42"/>
  <sheetViews>
    <sheetView zoomScale="75" zoomScaleNormal="75" workbookViewId="0">
      <selection activeCell="D24" sqref="D24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22" t="s">
        <v>6</v>
      </c>
      <c r="B1" s="20" t="str">
        <f>'1er Ass'!B1</f>
        <v>"Production"</v>
      </c>
      <c r="C1" s="40"/>
      <c r="D1" s="23" t="str">
        <f>'1er Ass'!D1</f>
        <v>Semaine N°</v>
      </c>
      <c r="E1" s="6" t="s">
        <v>4</v>
      </c>
      <c r="F1" s="20" t="str">
        <f>'1er Ass'!F1</f>
        <v>Caméra</v>
      </c>
      <c r="G1" s="41"/>
      <c r="H1" s="24"/>
    </row>
    <row r="2" spans="1:8" ht="20" customHeight="1">
      <c r="A2" s="25" t="s">
        <v>7</v>
      </c>
      <c r="B2" s="21" t="str">
        <f>'1er Ass'!B2</f>
        <v>"Film"</v>
      </c>
      <c r="C2" s="27" t="s">
        <v>30</v>
      </c>
      <c r="D2" s="26">
        <f>'1er Ass'!D2</f>
        <v>43830</v>
      </c>
      <c r="E2" s="27" t="s">
        <v>5</v>
      </c>
      <c r="F2" s="21" t="s">
        <v>16</v>
      </c>
      <c r="G2" s="42"/>
      <c r="H2" s="28"/>
    </row>
    <row r="3" spans="1:8" ht="20" customHeight="1" thickBot="1">
      <c r="A3" s="25"/>
      <c r="B3" s="42"/>
      <c r="C3" s="27" t="s">
        <v>31</v>
      </c>
      <c r="D3" s="67">
        <f>D2+DAY(5)</f>
        <v>43836</v>
      </c>
      <c r="E3" s="7"/>
      <c r="F3" s="43"/>
      <c r="G3" s="43"/>
      <c r="H3" s="29"/>
    </row>
    <row r="4" spans="1:8" ht="50" customHeight="1">
      <c r="A4" s="13" t="s">
        <v>0</v>
      </c>
      <c r="B4" s="5" t="s">
        <v>15</v>
      </c>
      <c r="C4" s="5" t="s">
        <v>28</v>
      </c>
      <c r="D4" s="5" t="s">
        <v>8</v>
      </c>
      <c r="E4" s="5" t="s">
        <v>32</v>
      </c>
      <c r="F4" s="5" t="s">
        <v>3</v>
      </c>
      <c r="G4" s="14" t="s">
        <v>9</v>
      </c>
      <c r="H4" s="15" t="s">
        <v>11</v>
      </c>
    </row>
    <row r="5" spans="1:8" s="3" customFormat="1" ht="23" customHeight="1">
      <c r="A5" s="30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44">
        <f>'1er Ass'!C5</f>
        <v>0</v>
      </c>
      <c r="D5" s="31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45">
        <f>'1er Ass'!H5</f>
        <v>0</v>
      </c>
    </row>
    <row r="6" spans="1:8" ht="17" customHeight="1">
      <c r="A6" s="32">
        <f>D2</f>
        <v>43830</v>
      </c>
      <c r="B6" s="68" t="str">
        <f>IF(E6="", "","(journée continue)")</f>
        <v/>
      </c>
      <c r="C6" s="168">
        <f>IF(OR(AND(D5=0/24, D6=0/24,), AND(C5=0/24, D6=0/24), (MOD(D6-C5,24) =D6)), 0/24, C5+1/24)</f>
        <v>0</v>
      </c>
      <c r="D6" s="37">
        <f>'1er Ass'!D6</f>
        <v>0</v>
      </c>
      <c r="E6" s="173" t="str">
        <f>IF(SUM(D7,E7)=0/24,"",SUM(D7,E7))</f>
        <v/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69"/>
      <c r="H6" s="16"/>
    </row>
    <row r="7" spans="1:8" ht="17" customHeight="1">
      <c r="A7" s="33">
        <f>IF(A6 = "", Deb, IF(A6&gt;DATE(YEAR(A6),3,31),IF(A6&lt;DATE(YEAR(A6),10,1),22/24,20/24),20/24))</f>
        <v>0.83333333333333337</v>
      </c>
      <c r="B7" s="70" t="str">
        <f>IF(A6 &lt;&gt; "", IF(A5="DIMANCHE", "(majoration dimanche)", ""), "")</f>
        <v/>
      </c>
      <c r="C7" s="34">
        <f>IF(C6 = C5, (MOD(D6-D5,1)),0)</f>
        <v>0</v>
      </c>
      <c r="D7" s="35">
        <f>IF(C5=0 / 24,0,IF((MOD(C5-D5,1))&lt;6 / 24,0,B33))</f>
        <v>0</v>
      </c>
      <c r="E7" s="17">
        <f>IF(C7&gt;=(6/24),B33,(IF(C5 = C6, IF(MOD(D6-D5, 1) &lt;6/24, 0, B33), IF((MOD(D6-C6,1))&lt;6/24,0,B33))))</f>
        <v>0</v>
      </c>
      <c r="F7" s="4" t="str">
        <f>IF(OR(F6=" ", F6=0)," ","(minoration repas nuit)")</f>
        <v xml:space="preserve"> </v>
      </c>
      <c r="G7" s="71"/>
      <c r="H7" s="18">
        <f>IF(E5&lt;=10/24,0/24,E5-10/24)</f>
        <v>0</v>
      </c>
    </row>
    <row r="8" spans="1:8" ht="17" customHeight="1">
      <c r="A8" s="30" t="str">
        <f>CHOOSE(WEEKDAY(A6+1,2),"LUNDI","MARDI","MERCREDI","JEUDI","VENDREDI","SAMEDI","DIMANCHE")</f>
        <v>MARDI</v>
      </c>
      <c r="B8" s="36" t="str">
        <f>IF(OR(C8&lt;&gt;0, C9 &lt;&gt;0), IF(MOD(C9-C8, 1) &lt; 0.041, "(pause réduite)", ""), "")</f>
        <v/>
      </c>
      <c r="C8" s="44">
        <f>'1er Ass'!C8</f>
        <v>0</v>
      </c>
      <c r="D8" s="31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45">
        <f>'1er Ass'!H8</f>
        <v>0</v>
      </c>
    </row>
    <row r="9" spans="1:8" ht="17" customHeight="1">
      <c r="A9" s="32">
        <f>IF(AND(DATE(YEAR(D2),MONTH(D2),DAY(D2))&lt;DATE(YEAR(D3),MONTH(D3),DAY(D3)), A6&lt;&gt;""),DATE(YEAR(D2),MONTH(D2),DAY(D2)+1),"")</f>
        <v>43831</v>
      </c>
      <c r="B9" s="72" t="str">
        <f>IF(E9="", "","(journée continue)")</f>
        <v/>
      </c>
      <c r="C9" s="168">
        <f>IF(OR(AND(D8=0/24, D9=0/24,), AND(C8=0/24, D9=0/24), (MOD(D9-C8,24) =D9)), 0/24, C8+1/24)</f>
        <v>0</v>
      </c>
      <c r="D9" s="37">
        <f>'1er Ass'!D9</f>
        <v>0</v>
      </c>
      <c r="E9" s="173" t="str">
        <f>IF(SUM(D10,E10)=0/24,"",SUM(D10,E10))</f>
        <v/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69"/>
      <c r="H9" s="16"/>
    </row>
    <row r="10" spans="1:8" ht="17" customHeight="1">
      <c r="A10" s="33">
        <f>IF(A9 = "", Deb, IF(A9&gt;DATE(YEAR(A9),3,31),IF(A9&lt;DATE(YEAR(A9),10,1),22/24,20/24),20/24))</f>
        <v>0.83333333333333337</v>
      </c>
      <c r="B10" s="70" t="str">
        <f>IF(A9 &lt;&gt; "", IF(A8="DIMANCHE", "(majoration dimanche)", ""), "")</f>
        <v/>
      </c>
      <c r="C10" s="34">
        <f>IF(C9 = C8, (MOD(D9-D8,1)),0)</f>
        <v>0</v>
      </c>
      <c r="D10" s="35">
        <f>IF(C8=0 / 24,0,IF((MOD(C8-D8,1))&lt;6 / 24,0,B33))</f>
        <v>0</v>
      </c>
      <c r="E10" s="34">
        <f>IF(C10&gt;=(6/24),B33,(IF(C8 = C9, IF(MOD(D9-D8, 1) &lt;6/24, 0, B33), IF((MOD(D9-C9,1))&lt;6/24,0,B33))))</f>
        <v>0</v>
      </c>
      <c r="F10" s="4" t="str">
        <f>IF(F9=" "," ","(minoration repas nuit)")</f>
        <v xml:space="preserve"> </v>
      </c>
      <c r="G10" s="71"/>
      <c r="H10" s="107">
        <f>IF(E8&lt;=10/24,0/24,E8-10/24)</f>
        <v>0</v>
      </c>
    </row>
    <row r="11" spans="1:8" ht="17" customHeight="1">
      <c r="A11" s="30" t="str">
        <f>CHOOSE(WEEKDAY(A6+2,2),"LUNDI","MARDI","MERCREDI","JEUDI","VENDREDI","SAMEDI","DIMANCHE")</f>
        <v>MERCREDI</v>
      </c>
      <c r="B11" s="36" t="str">
        <f>IF(OR(C11&lt;&gt;0, C12 &lt;&gt;0), IF(MOD(C12-C11, 1) &lt; 0.041, "(pause réduite)", ""), "")</f>
        <v/>
      </c>
      <c r="C11" s="44">
        <f>'1er Ass'!C11</f>
        <v>0</v>
      </c>
      <c r="D11" s="31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">
        <f>IF(AND(D8=0, D9=0), 0/24, (IF(D11=0/24,0/24,IF((MOD(D11-D9,1))&gt;=11/24,0/24,11/24-(MOD(D11-D9,1))))))</f>
        <v>0</v>
      </c>
      <c r="H11" s="45">
        <f>'1er Ass'!H11</f>
        <v>0</v>
      </c>
    </row>
    <row r="12" spans="1:8" ht="17" customHeight="1">
      <c r="A12" s="32">
        <f>IF(AND(DATE(YEAR(A9),MONTH(A9),DAY(A9))&lt;DATE(YEAR(D3),MONTH(D3),DAY(D3)), A9&lt;&gt;""),DATE(YEAR(D2),MONTH(D2),DAY(D2)+2), "")</f>
        <v>43832</v>
      </c>
      <c r="B12" s="72" t="str">
        <f>IF(E12="", "","(journée continue)")</f>
        <v/>
      </c>
      <c r="C12" s="169">
        <f>IF(OR(AND(D11=0/24, D12=0/24,), AND(C11=0/24, D12=0/24), (MOD(D12-C11,24) =D12)), 0/24, C11+1/24)</f>
        <v>0</v>
      </c>
      <c r="D12" s="37">
        <f>'1er Ass'!D12</f>
        <v>0</v>
      </c>
      <c r="E12" s="173" t="str">
        <f>IF(SUM(D13,E13)=0/24,"",SUM(D13,E13))</f>
        <v/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69"/>
      <c r="H12" s="16"/>
    </row>
    <row r="13" spans="1:8" ht="17" customHeight="1">
      <c r="A13" s="33">
        <f>IF(A12 = "", Deb, IF(A12&gt;DATE(YEAR(A12),3,31),IF(A12&lt;DATE(YEAR(A12),10,1),22/24,20/24),20/24))</f>
        <v>0.83333333333333337</v>
      </c>
      <c r="B13" s="4" t="str">
        <f>IF(A12 &lt;&gt; "", IF(A11="DIMANCHE", "(majoration dimanche)", ""), "")</f>
        <v/>
      </c>
      <c r="C13" s="34">
        <f>IF(C12 = C11, (MOD(D12-D11,1)),0)</f>
        <v>0</v>
      </c>
      <c r="D13" s="35">
        <f>IF(C11=0 / 24,0,IF((MOD(C11-D11,1))&lt;6 / 24,0,B33))</f>
        <v>0</v>
      </c>
      <c r="E13" s="17">
        <f>IF(C13&gt;=(6/24),B33,(IF(C11 = C12, IF(MOD(D12-D11, 1) &lt;6/24, 0, B33), IF((MOD(D12-C12,1))&lt;6/24,0,B33))))</f>
        <v>0</v>
      </c>
      <c r="F13" s="4" t="str">
        <f>IF(F12=" "," ","(minoration repas nuit)")</f>
        <v xml:space="preserve"> </v>
      </c>
      <c r="G13" s="73"/>
      <c r="H13" s="18">
        <f>IF(E11&lt;=10/24,0/24,E11-10/24)</f>
        <v>0</v>
      </c>
    </row>
    <row r="14" spans="1:8" ht="17" customHeight="1">
      <c r="A14" s="30" t="str">
        <f>CHOOSE(WEEKDAY(A6+3,2),"LUNDI","MARDI","MERCREDI","JEUDI","VENDREDI","SAMEDI","DIMANCHE")</f>
        <v>JEUDI</v>
      </c>
      <c r="B14" s="36" t="str">
        <f>IF(OR(C14&lt;&gt;0, C15 &lt;&gt;0), IF(MOD(C15-C14, 1) &lt; 0.041, "(pause réduite)", ""), "")</f>
        <v/>
      </c>
      <c r="C14" s="44">
        <f>'1er Ass'!C14</f>
        <v>0</v>
      </c>
      <c r="D14" s="31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45">
        <f>'1er Ass'!H14</f>
        <v>0</v>
      </c>
    </row>
    <row r="15" spans="1:8" ht="17" customHeight="1">
      <c r="A15" s="32">
        <f>IF(A12&lt;&gt; "", (IF(DATE(YEAR(A12),MONTH(A12),DAY(A12))&lt;DATE(YEAR(D3),MONTH(D3),DAY(D3)),DATE(YEAR(D2),MONTH(D2),(DAY(D2)+3)), "")), "")</f>
        <v>43833</v>
      </c>
      <c r="B15" s="72" t="str">
        <f>IF(E15="", "","(journée continue)")</f>
        <v/>
      </c>
      <c r="C15" s="168">
        <f>IF(OR(AND(D14=0/24, D15=0/24,), AND(C14=0/24, D15=0/24), (MOD(D15-C14,24) =D15)), 0/24, C14+1/24)</f>
        <v>0</v>
      </c>
      <c r="D15" s="37">
        <f>'1er Ass'!D15</f>
        <v>0</v>
      </c>
      <c r="E15" s="173" t="str">
        <f>IF(SUM(D16,E16)=0/24,"",SUM(D16,E16))</f>
        <v/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69"/>
      <c r="H15" s="16"/>
    </row>
    <row r="16" spans="1:8" ht="17" customHeight="1">
      <c r="A16" s="33">
        <f>IF(A15 = "", Deb, IF(A15&gt;DATE(YEAR(A15),3,31),IF(A15&lt;DATE(YEAR(A15),10,1),22/24,20/24),20/24))</f>
        <v>0.83333333333333337</v>
      </c>
      <c r="B16" s="4" t="str">
        <f>IF(A15 &lt;&gt; "", IF(A14="DIMANCHE", "(majoration dimanche)", ""), "")</f>
        <v/>
      </c>
      <c r="C16" s="34">
        <f>IF(C14 = C15, (MOD(D15-D14,1)),0)</f>
        <v>0</v>
      </c>
      <c r="D16" s="35">
        <f>IF(C14=0 / 24,0,IF((MOD(C14-D14,1))&lt;6 / 24,0,B33))</f>
        <v>0</v>
      </c>
      <c r="E16" s="17">
        <f>IF(C16&gt;=(6/24),B33,(IF(C15 = C14, IF(MOD(D15-D14, 1) &lt;6/24, 0, B33), IF((MOD(D15-C15,1))&lt;6/24,0,B33))))</f>
        <v>0</v>
      </c>
      <c r="F16" s="4" t="str">
        <f>IF(F15=" "," ","(minoration repas nuit)")</f>
        <v xml:space="preserve"> </v>
      </c>
      <c r="G16" s="17"/>
      <c r="H16" s="18">
        <f>IF(E14&lt;=10/24,0/24,E14-10/24)</f>
        <v>0</v>
      </c>
    </row>
    <row r="17" spans="1:8" ht="17" customHeight="1">
      <c r="A17" s="30" t="str">
        <f>CHOOSE(WEEKDAY(A6+4,2),"LUNDI","MARDI","MERCREDI","JEUDI","VENDREDI","SAMEDI","DIMANCHE")</f>
        <v>VENDREDI</v>
      </c>
      <c r="B17" s="36" t="str">
        <f>IF(OR(C17&lt;&gt;0, C18 &lt;&gt;0), IF(MOD(C18-C17, 1) &lt; 0.041, "(pause réduite)", ""), "")</f>
        <v/>
      </c>
      <c r="C17" s="44">
        <f>'1er Ass'!C17</f>
        <v>0</v>
      </c>
      <c r="D17" s="31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0/24,(IF(D17=0/24,0/24,IF((MOD(D17-D15,1))&gt;=11/24,0/24,11/24-(MOD(D17-D15,1))))))</f>
        <v>0</v>
      </c>
      <c r="H17" s="45">
        <f>'1er Ass'!H17</f>
        <v>0</v>
      </c>
    </row>
    <row r="18" spans="1:8" ht="17" customHeight="1">
      <c r="A18" s="32">
        <f>IF(A15&lt;&gt; "", (IF(DATE(YEAR(A15),MONTH(A15),DAY(A15))&lt;DATE(YEAR(D3),MONTH(D3),DAY(D3)),DATE(YEAR(D2),MONTH(D2),(DAY(D2)+4)), "")), "")</f>
        <v>43834</v>
      </c>
      <c r="B18" s="72" t="str">
        <f>IF(E18="", "","(journée continue)")</f>
        <v/>
      </c>
      <c r="C18" s="168">
        <f>IF(OR(AND(D17=0/24, D18=0/24,), AND(C17=0/24, D18=0/24), (MOD(D18-C17,24) =D18)), 0/24, C17+1/24)</f>
        <v>0</v>
      </c>
      <c r="D18" s="37">
        <f>'1er Ass'!D18</f>
        <v>0</v>
      </c>
      <c r="E18" s="173" t="str">
        <f>IF(SUM(D19,E19)=0/24,"",SUM(D19,E19))</f>
        <v/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69"/>
      <c r="H18" s="16"/>
    </row>
    <row r="19" spans="1:8" ht="17" customHeight="1">
      <c r="A19" s="33">
        <f>IF(A18 = "", Deb, IF(A18&gt;DATE(YEAR(A18),3,31),IF(A18&lt;DATE(YEAR(A18),10,1),22/24,20/24),20/24))</f>
        <v>0.83333333333333337</v>
      </c>
      <c r="B19" s="4" t="str">
        <f>IF(A18 &lt;&gt; "", IF(A17="DIMANCHE", "(majoration dimanche)", ""), "")</f>
        <v/>
      </c>
      <c r="C19" s="34">
        <f>IF(C17 = C18, (MOD(D18-D17,1)),0)</f>
        <v>0</v>
      </c>
      <c r="D19" s="35">
        <f>IF(C17=0 / 24,0,IF((MOD(C17-D17,1))&lt;6 / 24,0,B33))</f>
        <v>0</v>
      </c>
      <c r="E19" s="17">
        <f>IF(C19&gt;=(6/24),B33,(IF(C17 = C18, IF(MOD(D18-D17, 1) &lt;6/24, 0, B33), IF((MOD(D18-C18,1))&lt;6/24,0,B33))))</f>
        <v>0</v>
      </c>
      <c r="F19" s="4" t="str">
        <f>IF(F18=" "," ","(minoration repas nuit)")</f>
        <v xml:space="preserve"> </v>
      </c>
      <c r="G19" s="74"/>
      <c r="H19" s="18">
        <f>IF(E17&lt;=10/24,0/24,E17-10/24)</f>
        <v>0</v>
      </c>
    </row>
    <row r="20" spans="1:8" ht="17" customHeight="1">
      <c r="A20" s="30" t="str">
        <f>CHOOSE(WEEKDAY(A6+5,2),"LUNDI","MARDI","MERCREDI","JEUDI","VENDREDI","SAMEDI","DIMANCHE")</f>
        <v>SAMEDI</v>
      </c>
      <c r="B20" s="36" t="str">
        <f>IF(OR(C20&lt;&gt;0, C21 &lt;&gt;0), IF(MOD(C21-C20, 1) &lt; 0.041, "(pause réduite)", ""), "")</f>
        <v/>
      </c>
      <c r="C20" s="44">
        <f>'1er Ass'!C20</f>
        <v>0</v>
      </c>
      <c r="D20" s="31">
        <f>'1er Ass'!D20</f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(IF(D20=0/24,0/24,IF((MOD(D20-D18,1))&gt;=11/24,0/24, 11/24-(MOD(D20-D18,1))))))</f>
        <v>0</v>
      </c>
      <c r="H20" s="45">
        <f>'1er Ass'!H20</f>
        <v>0</v>
      </c>
    </row>
    <row r="21" spans="1:8" ht="17" customHeight="1">
      <c r="A21" s="32">
        <f>IF(A18&lt;&gt; "", (IF(DATE(YEAR(A18),MONTH(A18),DAY(A18))&lt;DATE(YEAR(D3),MONTH(D3),DAY(D3)),DATE(YEAR(D2),MONTH(D2),(DAY(D2)+5)), "")), "")</f>
        <v>43835</v>
      </c>
      <c r="B21" s="72" t="str">
        <f>IF(E21="", "","(journée continue)")</f>
        <v/>
      </c>
      <c r="C21" s="168">
        <f>IF(OR(AND(D20=0/24, D21=0/24,), AND(C20=0/24, D21=0/24), (MOD(D21-C20,24) =D21)), 0/24, C20+1/24)</f>
        <v>0</v>
      </c>
      <c r="D21" s="37">
        <f>'1er Ass'!D21</f>
        <v>0</v>
      </c>
      <c r="E21" s="173" t="str">
        <f>IF(SUM(D22,E22)=0/24,"",SUM(D22,E22))</f>
        <v/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69"/>
      <c r="H21" s="19"/>
    </row>
    <row r="22" spans="1:8" ht="17" customHeight="1">
      <c r="A22" s="33">
        <f>IF(A21="", Deb, IF(A21&gt;DATE(YEAR(A21),3,20),IF(A21&lt;DATE(YEAR(A21),12,21),22 / 24,20 / 24),20 /24))</f>
        <v>0.83333333333333337</v>
      </c>
      <c r="B22" s="4" t="str">
        <f>IF(A21&lt;&gt;"",IF(A20="DIMANCHE","(majoration dimanche)",""), "")</f>
        <v/>
      </c>
      <c r="C22" s="34">
        <f>IF(C20 = C21, (MOD(D21-D20,1)),0)</f>
        <v>0</v>
      </c>
      <c r="D22" s="35">
        <f>IF(C20=0 / 24,0,IF((MOD(C20-D20,1))&lt;6 / 24,0,B33))</f>
        <v>0</v>
      </c>
      <c r="E22" s="17">
        <f>IF(C22&gt;=(6 / 24),B33,(IF(C21 = C20, IF(MOD(D21-D20, 1) &lt;6/24, 0, B33), IF((MOD(D21-C21,1))&lt;6/24,0,B33))))</f>
        <v>0</v>
      </c>
      <c r="F22" s="4" t="str">
        <f>IF(F21=" "," ","(minoration repas nuit)")</f>
        <v xml:space="preserve"> </v>
      </c>
      <c r="G22" s="17"/>
      <c r="H22" s="18">
        <f>IF(E20&lt;=10/24,0/24,E20-10/24)</f>
        <v>0</v>
      </c>
    </row>
    <row r="23" spans="1:8" ht="17" customHeight="1">
      <c r="A23" s="30" t="str">
        <f>CHOOSE(WEEKDAY(A9+5,2),"LUNDI","MARDI","MERCREDI","JEUDI","VENDREDI","SAMEDI","DIMANCHE")</f>
        <v>DIMANCHE</v>
      </c>
      <c r="B23" s="36" t="str">
        <f>IF(OR(C23&lt;&gt;0, C24 &lt;&gt;0,), IF(MOD(C24-C23, 1) &lt; 0.041, "(pause réduite)", ""), "")</f>
        <v/>
      </c>
      <c r="C23" s="44">
        <f>'1er Ass'!C23</f>
        <v>0</v>
      </c>
      <c r="D23" s="31">
        <f>'1er Ass'!D23</f>
        <v>0</v>
      </c>
      <c r="E23" s="8">
        <f>IF(D23= " ",0/24,((MOD(D24-D23,1))-MOD(C24-C23,1)))</f>
        <v>0</v>
      </c>
      <c r="F23" s="8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8">
        <f>IF(AND(D20=0, D21=0),0/24, (IF(D23=0/24,0/24,IF((MOD(D23-D21,1))&gt;=11/24,0/24, 11/24-(MOD(D23-D21,1))))))</f>
        <v>0</v>
      </c>
      <c r="H23" s="45">
        <f>'1er Ass'!H23</f>
        <v>0</v>
      </c>
    </row>
    <row r="24" spans="1:8" ht="17" customHeight="1">
      <c r="A24" s="32">
        <f>IF(A21&lt;&gt; "", (IF(DATE(YEAR(A21),MONTH(A21),DAY(A21))&lt;DATE(YEAR(D3),MONTH(D3),DAY(D3)),DATE(YEAR(D2),MONTH(D2),(DAY(D2)+6)), "")), "")</f>
        <v>43836</v>
      </c>
      <c r="B24" s="72" t="str">
        <f>IF(E24="", "","(journée continue)")</f>
        <v/>
      </c>
      <c r="C24" s="168">
        <f>IF(OR(AND(D23=0/24, D24=0/24,), AND(C23=0/24, D24=0/24), (MOD(D24-C23,24) =D24)), 0/24, C23+1/24)</f>
        <v>0</v>
      </c>
      <c r="D24" s="31">
        <f>'1er Ass'!D24</f>
        <v>0</v>
      </c>
      <c r="E24" s="173" t="str">
        <f>IF(SUM(D25,E25)=0/24,"",SUM(D25,E25))</f>
        <v/>
      </c>
      <c r="F24" s="8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69"/>
      <c r="H24" s="75"/>
    </row>
    <row r="25" spans="1:8" s="3" customFormat="1" ht="17" thickBot="1">
      <c r="A25" s="33">
        <f>IF(A24="", Deb, IF(A24&gt;DATE(YEAR(A24),3,20),IF(A24&lt;DATE(YEAR(A24),12,21),22 / 24,20 / 24),20 /24))</f>
        <v>0.83333333333333337</v>
      </c>
      <c r="B25" s="4" t="str">
        <f>IF(A24&lt;&gt;"",IF(A23="DIMANCHE",IF(E23 &gt; 0/24, "(majoration dimanche)", ""),""),"")</f>
        <v/>
      </c>
      <c r="C25" s="34">
        <f>IF(C23 = C24, (MOD(D24-D23,1)),0)</f>
        <v>0</v>
      </c>
      <c r="D25" s="35">
        <f>IF(C23=0 / 24,0,IF((MOD(C23-D23,1))&lt;6 / 24,0,B33))</f>
        <v>0</v>
      </c>
      <c r="E25" s="17">
        <f>IF(C25&gt;=(6 / 24),B33,(IF(C24 = C23, IF(MOD(D24-D23, 1) &lt;6/24, 0, B33), IF((MOD(D24-C24,1))&lt;6/24,0,B33))))</f>
        <v>0</v>
      </c>
      <c r="F25" s="4" t="str">
        <f>IF(F24=" "," ","(minoration repas nuit)")</f>
        <v xml:space="preserve"> </v>
      </c>
      <c r="G25" s="17">
        <f>SUM(H25+H22+H19+H16+H13+H10+H7)</f>
        <v>0</v>
      </c>
      <c r="H25" s="18">
        <f>IF(E23&lt;=10/24,0/24,E23-10/24)</f>
        <v>0</v>
      </c>
    </row>
    <row r="26" spans="1:8" ht="17" customHeight="1">
      <c r="A26" s="46"/>
      <c r="B26" s="76" t="str">
        <f>IF(H27 &gt;=6, "(maj 100% 6ème jour+recup.)", "")</f>
        <v/>
      </c>
      <c r="C26" s="118"/>
      <c r="D26" s="119" t="s">
        <v>10</v>
      </c>
      <c r="E26" s="120">
        <f>SUM(E5,E6,E8,E9,E11,E12,E14,E15,E17,E18,E20,E21,E23,E24)</f>
        <v>0</v>
      </c>
      <c r="F26" s="120">
        <f>SUM(F5,F6,F8,F9,F11,F12,F14,F15,F17,F18,F20,F21,F23,F24)</f>
        <v>0</v>
      </c>
      <c r="G26" s="121">
        <f>SUM(G5,G8,G11,G14,G17,G20,G23)</f>
        <v>0</v>
      </c>
      <c r="H26" s="120">
        <f>SUM(H24,H23,H21,H20,H18,H17,H15,H14,H12,H11,H9,H8,H6,H5)</f>
        <v>0</v>
      </c>
    </row>
    <row r="27" spans="1:8" ht="17" customHeight="1">
      <c r="A27" s="47">
        <f>IF(OR(D5=0, D5=""), IF(OR(D6=0, D6=""),  0, 36 / 60), 36/ 60)</f>
        <v>0</v>
      </c>
      <c r="B27" s="48">
        <f>IF(OR(D8=0, D8=""), IF(OR(D9=0, D9=""),  0, 36/60), 36/60)</f>
        <v>0</v>
      </c>
      <c r="C27" s="48">
        <f>IF(OR(D11=0, D11=""), IF(OR(D12=0, D12=""),  0, 36/60), 36/60)</f>
        <v>0</v>
      </c>
      <c r="D27" s="48">
        <f>IF(OR(D14=0, D14=""), IF(OR(D15=0, D15=""),  0, 36/ 60), 36/60)</f>
        <v>0</v>
      </c>
      <c r="E27" s="48">
        <f>IF(OR(D17=0, D17=""), IF(OR(D18=0, D18=""),  0, 36/ 60), 36/60)</f>
        <v>0</v>
      </c>
      <c r="F27" s="48">
        <f>IF(OR(D20=0, D20=""), IF(OR(D21=0, D21=""),  0, 36/60), 36/60)</f>
        <v>0</v>
      </c>
      <c r="G27" s="98">
        <f>IF(OR(D23=0, D23=""), IF(OR(D24=0, D24=""),  0, 36/60), 36/60)</f>
        <v>0</v>
      </c>
      <c r="H27" s="99">
        <f>IF(A27 &gt; 0, 1, 0) + IF(B27 &gt; 0, 1, 0) + IF(C27 &gt; 0, 1, 0) + IF(D27 &gt; 0, 1, 0) + IF(E27 &gt; 0, 1, 0) + IF(F27 &gt; 0, 1, 0) + IF(G27 &gt; 0, 1, 0)</f>
        <v>0</v>
      </c>
    </row>
    <row r="28" spans="1:8" ht="17" customHeight="1" thickBot="1">
      <c r="A28" s="77"/>
      <c r="B28" s="100">
        <f>IF(F6 &lt;&gt; " ", IF(F5&gt;8 / 24,F6+F5-8 / 24,0 /24),  IF(F5&gt;8 / 24,F5-8 / 24,0 /24))</f>
        <v>0</v>
      </c>
      <c r="C28" s="100">
        <f>IF(F15 &lt;&gt; " ", IF(F14&gt;8 / 24,F15+F14-8 / 24,0 /24), IF(F14&gt;8 / 24,F14-8 / 24,0 /24))</f>
        <v>0</v>
      </c>
      <c r="D28" s="100">
        <f>IF(F21 &lt;&gt; " ", IF(F20&gt;8 / 24,F21+F20-8 / 24,0 /24), IF(F20&gt;8 / 24,F20-8 / 24,0 /24))</f>
        <v>0</v>
      </c>
      <c r="E28" s="100">
        <f>IF(F24 &lt;&gt; " ", IF(F23&gt;8 / 24,F24+F23-8 / 24,0 /24), IF(F23&gt;8 / 24,F23-8 / 24,0 /24))</f>
        <v>0</v>
      </c>
      <c r="F28" s="101"/>
      <c r="G28" s="117"/>
      <c r="H28" s="122"/>
    </row>
    <row r="29" spans="1:8" s="3" customFormat="1" ht="17" customHeight="1" thickBot="1">
      <c r="A29" s="77"/>
      <c r="B29" s="100">
        <f>IF(F9 &lt;&gt; " ", IF(F8&gt;8 / 24,F9+F8-8 / 24,0 /24), IF(F8&gt;8 / 24,F8-8 / 24,0 /24) )</f>
        <v>0</v>
      </c>
      <c r="C29" s="56" t="s">
        <v>33</v>
      </c>
      <c r="D29" s="61" t="s">
        <v>50</v>
      </c>
      <c r="E29" s="57">
        <f>-IF(H27 &gt; 5, 4/24, (SUM(A27,B27,C27,D27,E27,F27,G27)/24))</f>
        <v>0</v>
      </c>
      <c r="F29" s="103"/>
      <c r="G29" s="113"/>
      <c r="H29" s="114"/>
    </row>
    <row r="30" spans="1:8" s="3" customFormat="1" ht="17" customHeight="1" thickBot="1">
      <c r="A30" s="77"/>
      <c r="B30" s="100">
        <f>IF(F12 &lt;&gt; " ", IF(F11&gt;8 / 24,F12+F11-8 / 24,0 /24),IF(F11&gt;8 / 24,F11-8 / 24,0 /24))</f>
        <v>0</v>
      </c>
      <c r="C30" s="58"/>
      <c r="D30" s="60" t="s">
        <v>51</v>
      </c>
      <c r="E30" s="59">
        <f>IF(E29 &lt; -3/24, IF(E26&lt;(56/24), 52/24, SUM(E26,E29)),  IF(E29=-3/24, (IF(E26&lt;(46/24), 43/24,SUM(E26,E29))),SUM(E26,E29)))</f>
        <v>0</v>
      </c>
      <c r="F30" s="103"/>
      <c r="G30" s="110"/>
      <c r="H30" s="115" t="s">
        <v>49</v>
      </c>
    </row>
    <row r="31" spans="1:8" s="3" customFormat="1" ht="17" customHeight="1">
      <c r="A31" s="78"/>
      <c r="B31" s="85" t="s">
        <v>65</v>
      </c>
      <c r="C31" s="79"/>
      <c r="D31" s="129" t="s">
        <v>37</v>
      </c>
      <c r="E31" s="93">
        <f>IF(E26&gt;35 / 24,35 / 24,E26)</f>
        <v>0</v>
      </c>
      <c r="F31" s="103"/>
      <c r="G31" s="110"/>
      <c r="H31" s="115" t="s">
        <v>27</v>
      </c>
    </row>
    <row r="32" spans="1:8" s="3" customFormat="1" ht="17" customHeight="1">
      <c r="A32" s="80"/>
      <c r="B32" s="171" t="s">
        <v>66</v>
      </c>
      <c r="C32" s="81" t="s">
        <v>38</v>
      </c>
      <c r="D32" s="130" t="s">
        <v>39</v>
      </c>
      <c r="E32" s="94">
        <f>IF(E26&gt;35 / 24,IF(E26&lt;43 / 24,E26-35 / 24,8 / 24),0 / 24)</f>
        <v>0</v>
      </c>
      <c r="F32" s="103"/>
      <c r="G32" s="110"/>
      <c r="H32" s="116" t="s">
        <v>13</v>
      </c>
    </row>
    <row r="33" spans="1:8" s="3" customFormat="1" ht="17" customHeight="1" thickBot="1">
      <c r="A33" s="78"/>
      <c r="B33" s="172">
        <v>2.0833333333333332E-2</v>
      </c>
      <c r="C33" s="82" t="s">
        <v>40</v>
      </c>
      <c r="D33" s="131" t="s">
        <v>41</v>
      </c>
      <c r="E33" s="95">
        <f>IF(E26&gt;48 / 24,5 / 24,IF(E26&gt;43 / 24,E26-43 / 24,0 / 24))</f>
        <v>0</v>
      </c>
      <c r="F33" s="103"/>
      <c r="G33" s="111"/>
      <c r="H33" s="112"/>
    </row>
    <row r="34" spans="1:8" s="3" customFormat="1" ht="17" customHeight="1">
      <c r="A34" s="80"/>
      <c r="C34" s="81" t="s">
        <v>42</v>
      </c>
      <c r="D34" s="130" t="s">
        <v>43</v>
      </c>
      <c r="E34" s="94">
        <f>IF(E26&gt;48 / 24,E26- 48 / 24,0 /24)</f>
        <v>0</v>
      </c>
      <c r="F34" s="103"/>
      <c r="G34" s="103"/>
      <c r="H34" s="104"/>
    </row>
    <row r="35" spans="1:8" s="3" customFormat="1" ht="17" customHeight="1" thickBot="1">
      <c r="A35" s="83"/>
      <c r="B35" s="105" t="str">
        <f>IF(Deb &lt; 0.9, "(Studio Agréé 21h à 6h)", "Studio de 22h à 6h")</f>
        <v>(Studio Agréé 21h à 6h)</v>
      </c>
      <c r="C35" s="127"/>
      <c r="D35" s="132" t="s">
        <v>48</v>
      </c>
      <c r="E35" s="128">
        <f>F26</f>
        <v>0</v>
      </c>
      <c r="F35" s="103"/>
      <c r="G35" s="103"/>
      <c r="H35" s="104"/>
    </row>
    <row r="36" spans="1:8" s="3" customFormat="1" ht="17" customHeight="1">
      <c r="A36" s="83"/>
      <c r="B36" s="85" t="s">
        <v>2</v>
      </c>
      <c r="C36" s="86"/>
      <c r="D36" s="133" t="s">
        <v>45</v>
      </c>
      <c r="E36" s="97">
        <f>G26</f>
        <v>0</v>
      </c>
      <c r="F36" s="103"/>
      <c r="G36" s="103"/>
      <c r="H36" s="104"/>
    </row>
    <row r="37" spans="1:8" s="3" customFormat="1" ht="17" customHeight="1">
      <c r="A37" s="83"/>
      <c r="B37" s="87">
        <f>IF(D2&gt;DATE(YEAR(D2),3,31),IF(D2&lt;DATE(YEAR(D2),10,1),22 / 24,20 / 24),20 /24)</f>
        <v>0.83333333333333337</v>
      </c>
      <c r="C37" s="88"/>
      <c r="D37" s="134" t="s">
        <v>44</v>
      </c>
      <c r="E37" s="96">
        <f>H26</f>
        <v>0</v>
      </c>
      <c r="F37" s="101"/>
      <c r="G37" s="101"/>
      <c r="H37" s="102"/>
    </row>
    <row r="38" spans="1:8" ht="17" customHeight="1">
      <c r="A38" s="89"/>
      <c r="B38" s="90" t="s">
        <v>1</v>
      </c>
      <c r="C38" s="91"/>
      <c r="D38" s="133" t="str">
        <f>IF(E38&lt;=1, "JOURNEE CONTINUE", "JOURNEES CONTINUES")</f>
        <v>JOURNEE CONTINUE</v>
      </c>
      <c r="E38" s="179">
        <f>SUM(E6,E9,E12,E15,E18,E21,E24)/B33</f>
        <v>0</v>
      </c>
      <c r="F38" s="101"/>
      <c r="G38" s="101"/>
      <c r="H38" s="102"/>
    </row>
    <row r="39" spans="1:8" ht="17" thickBot="1">
      <c r="A39" s="123"/>
      <c r="B39" s="92">
        <v>0.25</v>
      </c>
      <c r="C39" s="84"/>
      <c r="D39" s="134" t="s">
        <v>46</v>
      </c>
      <c r="E39" s="96">
        <v>0</v>
      </c>
      <c r="F39" s="101"/>
      <c r="G39" s="101"/>
      <c r="H39" s="102"/>
    </row>
    <row r="40" spans="1:8" ht="17" thickBot="1">
      <c r="A40" s="170"/>
      <c r="B40" s="106"/>
      <c r="C40" s="108"/>
      <c r="D40" s="135" t="s">
        <v>47</v>
      </c>
      <c r="E40" s="109">
        <f>IF(B7&lt;&gt;"",E5,IF(B10&lt;&gt;"",E8,IF(B13&lt;&gt;"",E11,IF(B16&lt;&gt;"",E14,IF(B19&lt;&gt;"",E17,IF(B22&lt;&gt;"",E20, IF(B25&lt;&gt;"",E23, 0)))))))</f>
        <v>0</v>
      </c>
      <c r="F40" s="101"/>
      <c r="G40" s="101"/>
      <c r="H40" s="102"/>
    </row>
    <row r="41" spans="1:8">
      <c r="A41" s="123"/>
      <c r="B41" s="117"/>
      <c r="C41" s="117"/>
      <c r="D41" s="117"/>
      <c r="E41" s="117"/>
      <c r="F41" s="117"/>
      <c r="G41" s="117"/>
      <c r="H41" s="122"/>
    </row>
    <row r="42" spans="1:8">
      <c r="A42" s="124"/>
      <c r="B42" s="125"/>
      <c r="C42" s="125"/>
      <c r="D42" s="125"/>
      <c r="E42" s="125"/>
      <c r="F42" s="125"/>
      <c r="G42" s="125"/>
      <c r="H42" s="12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6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Tech Retour Image</vt:lpstr>
      <vt:lpstr>'1er Ass'!Deb</vt:lpstr>
      <vt:lpstr>'Tech Retour Image'!Deb</vt:lpstr>
      <vt:lpstr>Deb</vt:lpstr>
      <vt:lpstr>'1er Ass'!Fin</vt:lpstr>
      <vt:lpstr>'Tech Retour Image'!Fin</vt:lpstr>
      <vt:lpstr>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DUMONT, Ugo Villion, Jimmy Bourcier</dc:creator>
  <cp:keywords/>
  <dc:description/>
  <cp:lastModifiedBy>Microsoft Office User</cp:lastModifiedBy>
  <cp:lastPrinted>2022-09-16T12:03:43Z</cp:lastPrinted>
  <dcterms:created xsi:type="dcterms:W3CDTF">2002-09-15T20:21:11Z</dcterms:created>
  <dcterms:modified xsi:type="dcterms:W3CDTF">2024-11-08T22:39:06Z</dcterms:modified>
  <cp:category/>
</cp:coreProperties>
</file>