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ate1904="1" codeName="ThisWorkbook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Ugo/Downloads/"/>
    </mc:Choice>
  </mc:AlternateContent>
  <xr:revisionPtr revIDLastSave="0" documentId="13_ncr:1_{48B6413A-8C60-E14D-8B8D-48D3C242B050}" xr6:coauthVersionLast="36" xr6:coauthVersionMax="47" xr10:uidLastSave="{00000000-0000-0000-0000-000000000000}"/>
  <bookViews>
    <workbookView xWindow="5520" yWindow="2120" windowWidth="36740" windowHeight="16560" xr2:uid="{00000000-000D-0000-FFFF-FFFF00000000}"/>
  </bookViews>
  <sheets>
    <sheet name="Notice" sheetId="9" r:id="rId1"/>
    <sheet name="1er Ass OPV" sheetId="12" r:id="rId2"/>
    <sheet name="2nd Ass OPV" sheetId="15" r:id="rId3"/>
    <sheet name="Ass OPV Adj" sheetId="16" r:id="rId4"/>
  </sheets>
  <definedNames>
    <definedName name="Deb" localSheetId="1">'1er Ass OPV'!$B$37</definedName>
    <definedName name="Deb" localSheetId="2">'2nd Ass OPV'!$B$37</definedName>
    <definedName name="Deb" localSheetId="3">'Ass OPV Adj'!$B$37</definedName>
    <definedName name="Deb">#REF!</definedName>
    <definedName name="Fin" localSheetId="1">'1er Ass OPV'!$B$39</definedName>
    <definedName name="Fin" localSheetId="2">'2nd Ass OPV'!$B$39</definedName>
    <definedName name="Fin" localSheetId="3">'Ass OPV Adj'!$B$39</definedName>
    <definedName name="Fin">#REF!</definedName>
  </definedNames>
  <calcPr calcId="181029"/>
  <customWorkbookViews>
    <customWorkbookView name="developpeur" guid="{028A8FD2-38CC-184D-ABB8-598EF608EE4F}" xWindow="496" yWindow="23" windowWidth="1368" windowHeight="979" activeSheetId="1"/>
  </customWorkbookViews>
</workbook>
</file>

<file path=xl/calcChain.xml><?xml version="1.0" encoding="utf-8"?>
<calcChain xmlns="http://schemas.openxmlformats.org/spreadsheetml/2006/main">
  <c r="B23" i="16" l="1"/>
  <c r="B20" i="16"/>
  <c r="B17" i="15"/>
  <c r="B23" i="15"/>
  <c r="B20" i="15"/>
  <c r="E42" i="12"/>
  <c r="B23" i="12"/>
  <c r="B20" i="12"/>
  <c r="E6" i="12" l="1"/>
  <c r="E41" i="12" s="1"/>
  <c r="D41" i="12" s="1"/>
  <c r="H23" i="16" l="1"/>
  <c r="H20" i="16"/>
  <c r="H17" i="16"/>
  <c r="H14" i="16"/>
  <c r="H11" i="16"/>
  <c r="H8" i="16"/>
  <c r="H5" i="16"/>
  <c r="H23" i="15"/>
  <c r="H20" i="15"/>
  <c r="H17" i="15"/>
  <c r="H14" i="15"/>
  <c r="H11" i="15"/>
  <c r="H8" i="15"/>
  <c r="H5" i="15"/>
  <c r="D24" i="15" l="1"/>
  <c r="H26" i="15"/>
  <c r="D23" i="15"/>
  <c r="C23" i="15"/>
  <c r="D25" i="15" s="1"/>
  <c r="D21" i="15"/>
  <c r="D20" i="15"/>
  <c r="C21" i="15" s="1"/>
  <c r="C20" i="15"/>
  <c r="D22" i="15" s="1"/>
  <c r="D19" i="15"/>
  <c r="D18" i="15"/>
  <c r="D17" i="15"/>
  <c r="G20" i="15" s="1"/>
  <c r="C17" i="15"/>
  <c r="D16" i="15"/>
  <c r="D15" i="15"/>
  <c r="D14" i="15"/>
  <c r="G17" i="15" s="1"/>
  <c r="C14" i="15"/>
  <c r="D12" i="15"/>
  <c r="D11" i="15"/>
  <c r="C11" i="15"/>
  <c r="D13" i="15" s="1"/>
  <c r="D9" i="15"/>
  <c r="D8" i="15"/>
  <c r="C8" i="15"/>
  <c r="D7" i="15"/>
  <c r="D6" i="15"/>
  <c r="A6" i="15"/>
  <c r="A14" i="15" s="1"/>
  <c r="D5" i="15"/>
  <c r="G8" i="15" s="1"/>
  <c r="C5" i="15"/>
  <c r="C11" i="16"/>
  <c r="C14" i="16"/>
  <c r="C17" i="16"/>
  <c r="C20" i="16"/>
  <c r="C23" i="16"/>
  <c r="D24" i="16"/>
  <c r="D23" i="16"/>
  <c r="D21" i="16"/>
  <c r="D20" i="16"/>
  <c r="D18" i="16"/>
  <c r="D17" i="16"/>
  <c r="D15" i="16"/>
  <c r="D14" i="16"/>
  <c r="D12" i="16"/>
  <c r="D11" i="16"/>
  <c r="D9" i="16"/>
  <c r="D6" i="16"/>
  <c r="D5" i="16"/>
  <c r="C5" i="16"/>
  <c r="C8" i="16"/>
  <c r="D8" i="16"/>
  <c r="D10" i="15" l="1"/>
  <c r="C9" i="15"/>
  <c r="C10" i="15" s="1"/>
  <c r="E10" i="15" s="1"/>
  <c r="E9" i="15" s="1"/>
  <c r="C22" i="15"/>
  <c r="E22" i="15" s="1"/>
  <c r="E21" i="15" s="1"/>
  <c r="B21" i="15" s="1"/>
  <c r="C16" i="15"/>
  <c r="E16" i="15" s="1"/>
  <c r="E15" i="15"/>
  <c r="B15" i="15" s="1"/>
  <c r="G11" i="15"/>
  <c r="G26" i="15" s="1"/>
  <c r="C24" i="15"/>
  <c r="E5" i="15"/>
  <c r="A8" i="15"/>
  <c r="A9" i="15"/>
  <c r="C15" i="15"/>
  <c r="A20" i="15"/>
  <c r="E20" i="15"/>
  <c r="H22" i="15" s="1"/>
  <c r="F5" i="15"/>
  <c r="C6" i="15"/>
  <c r="A7" i="15"/>
  <c r="B8" i="15"/>
  <c r="F9" i="15"/>
  <c r="F10" i="15" s="1"/>
  <c r="A11" i="15"/>
  <c r="E11" i="15"/>
  <c r="H13" i="15" s="1"/>
  <c r="C18" i="15"/>
  <c r="F21" i="15"/>
  <c r="F22" i="15" s="1"/>
  <c r="E23" i="15"/>
  <c r="H25" i="15" s="1"/>
  <c r="C25" i="15"/>
  <c r="E25" i="15" s="1"/>
  <c r="E24" i="15" s="1"/>
  <c r="B24" i="15" s="1"/>
  <c r="C12" i="15"/>
  <c r="C13" i="15" s="1"/>
  <c r="E13" i="15" s="1"/>
  <c r="E12" i="15" s="1"/>
  <c r="B12" i="15" s="1"/>
  <c r="A17" i="15"/>
  <c r="G23" i="15"/>
  <c r="A5" i="15"/>
  <c r="B7" i="15" s="1"/>
  <c r="E8" i="15"/>
  <c r="H10" i="15" s="1"/>
  <c r="G14" i="15"/>
  <c r="B11" i="15"/>
  <c r="F12" i="15"/>
  <c r="F13" i="15" s="1"/>
  <c r="F24" i="15"/>
  <c r="F25" i="15" s="1"/>
  <c r="D2" i="12"/>
  <c r="B9" i="15" l="1"/>
  <c r="E41" i="15"/>
  <c r="A10" i="15"/>
  <c r="F8" i="15" s="1"/>
  <c r="A23" i="15"/>
  <c r="A12" i="15"/>
  <c r="B10" i="15"/>
  <c r="F18" i="15"/>
  <c r="F19" i="15" s="1"/>
  <c r="C19" i="15"/>
  <c r="E19" i="15" s="1"/>
  <c r="E18" i="15" s="1"/>
  <c r="B18" i="15" s="1"/>
  <c r="E17" i="15"/>
  <c r="H19" i="15" s="1"/>
  <c r="G25" i="15" s="1"/>
  <c r="H7" i="15"/>
  <c r="C7" i="15"/>
  <c r="E7" i="15" s="1"/>
  <c r="E6" i="15" s="1"/>
  <c r="B6" i="15" s="1"/>
  <c r="F6" i="15"/>
  <c r="F7" i="15" s="1"/>
  <c r="E14" i="15"/>
  <c r="H16" i="15" s="1"/>
  <c r="F15" i="15"/>
  <c r="F16" i="15" s="1"/>
  <c r="B14" i="15"/>
  <c r="B5" i="15"/>
  <c r="H26" i="16"/>
  <c r="D25" i="16"/>
  <c r="C21" i="16"/>
  <c r="D22" i="16"/>
  <c r="D19" i="16"/>
  <c r="G20" i="16"/>
  <c r="D16" i="16"/>
  <c r="G17" i="16"/>
  <c r="D13" i="16"/>
  <c r="C9" i="16"/>
  <c r="C10" i="16" s="1"/>
  <c r="E10" i="16" s="1"/>
  <c r="D10" i="16"/>
  <c r="D7" i="16"/>
  <c r="G8" i="16"/>
  <c r="D7" i="12"/>
  <c r="H26" i="12"/>
  <c r="D25" i="12"/>
  <c r="C24" i="12"/>
  <c r="F24" i="12" s="1"/>
  <c r="F25" i="12" s="1"/>
  <c r="G23" i="12"/>
  <c r="E23" i="12"/>
  <c r="H25" i="12" s="1"/>
  <c r="D22" i="12"/>
  <c r="C21" i="12"/>
  <c r="E20" i="12" s="1"/>
  <c r="H22" i="12" s="1"/>
  <c r="G20" i="12"/>
  <c r="D19" i="12"/>
  <c r="C19" i="12"/>
  <c r="E19" i="12" s="1"/>
  <c r="E18" i="12" s="1"/>
  <c r="B18" i="12" s="1"/>
  <c r="F18" i="12"/>
  <c r="F19" i="12" s="1"/>
  <c r="C18" i="12"/>
  <c r="E17" i="12" s="1"/>
  <c r="H19" i="12" s="1"/>
  <c r="G17" i="12"/>
  <c r="B17" i="12"/>
  <c r="A17" i="12"/>
  <c r="D16" i="12"/>
  <c r="E15" i="12" s="1"/>
  <c r="B15" i="12" s="1"/>
  <c r="F15" i="12"/>
  <c r="F16" i="12" s="1"/>
  <c r="C15" i="12"/>
  <c r="C16" i="12" s="1"/>
  <c r="E16" i="12" s="1"/>
  <c r="G14" i="12"/>
  <c r="E14" i="12"/>
  <c r="H16" i="12" s="1"/>
  <c r="B14" i="12"/>
  <c r="D13" i="12"/>
  <c r="C12" i="12"/>
  <c r="F12" i="12" s="1"/>
  <c r="F13" i="12" s="1"/>
  <c r="G11" i="12"/>
  <c r="E11" i="12"/>
  <c r="H13" i="12" s="1"/>
  <c r="D10" i="12"/>
  <c r="C9" i="12"/>
  <c r="E8" i="12" s="1"/>
  <c r="H10" i="12" s="1"/>
  <c r="G8" i="12"/>
  <c r="G26" i="12" s="1"/>
  <c r="H7" i="12"/>
  <c r="C7" i="12"/>
  <c r="E7" i="12" s="1"/>
  <c r="F6" i="12"/>
  <c r="F7" i="12" s="1"/>
  <c r="C6" i="12"/>
  <c r="B5" i="12" s="1"/>
  <c r="A6" i="12"/>
  <c r="A14" i="12" s="1"/>
  <c r="E5" i="12"/>
  <c r="A5" i="12"/>
  <c r="A15" i="15" l="1"/>
  <c r="B13" i="15"/>
  <c r="A13" i="15"/>
  <c r="F11" i="15" s="1"/>
  <c r="E26" i="15"/>
  <c r="E9" i="16"/>
  <c r="C22" i="16"/>
  <c r="E22" i="16" s="1"/>
  <c r="E21" i="16" s="1"/>
  <c r="B21" i="16" s="1"/>
  <c r="G11" i="16"/>
  <c r="C24" i="16"/>
  <c r="F24" i="16" s="1"/>
  <c r="F25" i="16" s="1"/>
  <c r="E8" i="16"/>
  <c r="H10" i="16" s="1"/>
  <c r="C15" i="16"/>
  <c r="C16" i="16" s="1"/>
  <c r="E16" i="16" s="1"/>
  <c r="E15" i="16" s="1"/>
  <c r="B15" i="16" s="1"/>
  <c r="C6" i="16"/>
  <c r="E5" i="16" s="1"/>
  <c r="B8" i="16"/>
  <c r="F9" i="16"/>
  <c r="F10" i="16" s="1"/>
  <c r="C18" i="16"/>
  <c r="F21" i="16"/>
  <c r="F22" i="16" s="1"/>
  <c r="C12" i="16"/>
  <c r="C13" i="16" s="1"/>
  <c r="E13" i="16" s="1"/>
  <c r="E12" i="16" s="1"/>
  <c r="B12" i="16" s="1"/>
  <c r="G23" i="16"/>
  <c r="G14" i="16"/>
  <c r="E20" i="16"/>
  <c r="H22" i="16" s="1"/>
  <c r="B6" i="12"/>
  <c r="G25" i="12"/>
  <c r="A20" i="12"/>
  <c r="C22" i="12"/>
  <c r="E22" i="12" s="1"/>
  <c r="E21" i="12" s="1"/>
  <c r="B21" i="12" s="1"/>
  <c r="A7" i="12"/>
  <c r="F5" i="12" s="1"/>
  <c r="B8" i="12"/>
  <c r="F9" i="12"/>
  <c r="F10" i="12" s="1"/>
  <c r="A11" i="12"/>
  <c r="C13" i="12"/>
  <c r="E13" i="12" s="1"/>
  <c r="E12" i="12" s="1"/>
  <c r="B12" i="12" s="1"/>
  <c r="F21" i="12"/>
  <c r="F22" i="12" s="1"/>
  <c r="C25" i="12"/>
  <c r="E25" i="12" s="1"/>
  <c r="E24" i="12" s="1"/>
  <c r="B24" i="12" s="1"/>
  <c r="A8" i="12"/>
  <c r="C10" i="12"/>
  <c r="E10" i="12" s="1"/>
  <c r="E9" i="12" s="1"/>
  <c r="B7" i="12"/>
  <c r="B11" i="12"/>
  <c r="B9" i="12" l="1"/>
  <c r="B9" i="16"/>
  <c r="E41" i="16"/>
  <c r="A16" i="15"/>
  <c r="F14" i="15" s="1"/>
  <c r="B16" i="15"/>
  <c r="A18" i="15"/>
  <c r="B11" i="16"/>
  <c r="C25" i="16"/>
  <c r="E25" i="16" s="1"/>
  <c r="E24" i="16" s="1"/>
  <c r="B24" i="16" s="1"/>
  <c r="E23" i="16"/>
  <c r="H25" i="16" s="1"/>
  <c r="G26" i="16"/>
  <c r="H7" i="16"/>
  <c r="E11" i="16"/>
  <c r="H13" i="16" s="1"/>
  <c r="C7" i="16"/>
  <c r="E7" i="16" s="1"/>
  <c r="E6" i="16" s="1"/>
  <c r="B6" i="16" s="1"/>
  <c r="F6" i="16"/>
  <c r="F7" i="16" s="1"/>
  <c r="B17" i="16"/>
  <c r="F18" i="16"/>
  <c r="F19" i="16" s="1"/>
  <c r="C19" i="16"/>
  <c r="E19" i="16" s="1"/>
  <c r="E18" i="16" s="1"/>
  <c r="B18" i="16" s="1"/>
  <c r="E17" i="16"/>
  <c r="H19" i="16" s="1"/>
  <c r="F12" i="16"/>
  <c r="F13" i="16" s="1"/>
  <c r="E14" i="16"/>
  <c r="H16" i="16" s="1"/>
  <c r="F15" i="16"/>
  <c r="F16" i="16" s="1"/>
  <c r="B14" i="16"/>
  <c r="B5" i="16"/>
  <c r="E26" i="12"/>
  <c r="F39" i="16"/>
  <c r="F39" i="15"/>
  <c r="B19" i="15" l="1"/>
  <c r="A19" i="15"/>
  <c r="F17" i="15" s="1"/>
  <c r="A21" i="15"/>
  <c r="G25" i="16"/>
  <c r="E26" i="16"/>
  <c r="A22" i="15" l="1"/>
  <c r="F20" i="15" s="1"/>
  <c r="B22" i="15"/>
  <c r="A24" i="15"/>
  <c r="D41" i="16"/>
  <c r="A25" i="15" l="1"/>
  <c r="F23" i="15" s="1"/>
  <c r="F26" i="15" s="1"/>
  <c r="B25" i="15"/>
  <c r="F1" i="16"/>
  <c r="F1" i="15"/>
  <c r="D3" i="12" l="1"/>
  <c r="A9" i="12" s="1"/>
  <c r="A10" i="12" l="1"/>
  <c r="F8" i="12" s="1"/>
  <c r="B10" i="12"/>
  <c r="A23" i="12"/>
  <c r="A12" i="12"/>
  <c r="A15" i="12" l="1"/>
  <c r="B13" i="12"/>
  <c r="A13" i="12"/>
  <c r="F11" i="12" s="1"/>
  <c r="B39" i="12"/>
  <c r="A18" i="12" l="1"/>
  <c r="B16" i="12"/>
  <c r="A16" i="12"/>
  <c r="F14" i="12" s="1"/>
  <c r="B37" i="12"/>
  <c r="D1" i="15"/>
  <c r="D1" i="16"/>
  <c r="B2" i="15"/>
  <c r="B1" i="15"/>
  <c r="B2" i="16"/>
  <c r="B1" i="16"/>
  <c r="D2" i="16"/>
  <c r="D2" i="15"/>
  <c r="F30" i="16"/>
  <c r="E38" i="16"/>
  <c r="F30" i="15"/>
  <c r="E38" i="15"/>
  <c r="F38" i="15" s="1"/>
  <c r="E38" i="12"/>
  <c r="D3" i="16" l="1"/>
  <c r="A6" i="16"/>
  <c r="A9" i="16"/>
  <c r="D3" i="15"/>
  <c r="A19" i="12"/>
  <c r="F17" i="12" s="1"/>
  <c r="B19" i="12"/>
  <c r="A21" i="12"/>
  <c r="F38" i="16"/>
  <c r="B37" i="15"/>
  <c r="B37" i="16"/>
  <c r="A28" i="16"/>
  <c r="B39" i="16"/>
  <c r="B39" i="15"/>
  <c r="A10" i="16" l="1"/>
  <c r="F8" i="16" s="1"/>
  <c r="A12" i="16"/>
  <c r="A23" i="16"/>
  <c r="A14" i="16"/>
  <c r="A11" i="16"/>
  <c r="A8" i="16"/>
  <c r="B10" i="16" s="1"/>
  <c r="B7" i="16"/>
  <c r="A7" i="16"/>
  <c r="F5" i="16" s="1"/>
  <c r="A17" i="16"/>
  <c r="A5" i="16"/>
  <c r="A20" i="16"/>
  <c r="B22" i="12"/>
  <c r="A22" i="12"/>
  <c r="F20" i="12" s="1"/>
  <c r="A24" i="12"/>
  <c r="E37" i="16"/>
  <c r="F37" i="16" s="1"/>
  <c r="E32" i="16"/>
  <c r="F32" i="16" s="1"/>
  <c r="E37" i="15"/>
  <c r="F37" i="15" s="1"/>
  <c r="E35" i="16"/>
  <c r="F35" i="16" s="1"/>
  <c r="B42" i="16"/>
  <c r="B42" i="15"/>
  <c r="E35" i="15"/>
  <c r="F35" i="15" s="1"/>
  <c r="A29" i="16"/>
  <c r="A28" i="15"/>
  <c r="A15" i="16" l="1"/>
  <c r="A13" i="16"/>
  <c r="F11" i="16" s="1"/>
  <c r="B13" i="16"/>
  <c r="B25" i="12"/>
  <c r="A25" i="12"/>
  <c r="F23" i="12" s="1"/>
  <c r="F26" i="12" s="1"/>
  <c r="E32" i="15"/>
  <c r="F32" i="15" s="1"/>
  <c r="D41" i="15"/>
  <c r="E42" i="16"/>
  <c r="E33" i="16"/>
  <c r="F33" i="16" s="1"/>
  <c r="E34" i="16"/>
  <c r="F34" i="16" s="1"/>
  <c r="E31" i="16"/>
  <c r="F31" i="16" s="1"/>
  <c r="A29" i="15"/>
  <c r="A30" i="16"/>
  <c r="A30" i="15"/>
  <c r="A16" i="16" l="1"/>
  <c r="F14" i="16" s="1"/>
  <c r="A18" i="16"/>
  <c r="B16" i="16"/>
  <c r="E31" i="15"/>
  <c r="F31" i="15" s="1"/>
  <c r="E34" i="15"/>
  <c r="F34" i="15" s="1"/>
  <c r="E33" i="15"/>
  <c r="F33" i="15" s="1"/>
  <c r="E42" i="15"/>
  <c r="A31" i="16"/>
  <c r="A31" i="15"/>
  <c r="B19" i="16" l="1"/>
  <c r="A19" i="16"/>
  <c r="F17" i="16" s="1"/>
  <c r="A21" i="16"/>
  <c r="A32" i="16"/>
  <c r="A32" i="15"/>
  <c r="A22" i="16" l="1"/>
  <c r="F20" i="16" s="1"/>
  <c r="A24" i="16"/>
  <c r="B22" i="16"/>
  <c r="A33" i="16"/>
  <c r="A34" i="16"/>
  <c r="A33" i="15"/>
  <c r="A28" i="12"/>
  <c r="E40" i="16" l="1"/>
  <c r="F40" i="16" s="1"/>
  <c r="A34" i="15"/>
  <c r="B25" i="16"/>
  <c r="A25" i="16"/>
  <c r="F23" i="16" s="1"/>
  <c r="F26" i="16" s="1"/>
  <c r="A29" i="12"/>
  <c r="E40" i="15"/>
  <c r="F40" i="15" s="1"/>
  <c r="A30" i="12"/>
  <c r="A31" i="12" l="1"/>
  <c r="E36" i="16" l="1"/>
  <c r="F36" i="16" s="1"/>
  <c r="F42" i="16" s="1"/>
  <c r="E37" i="12"/>
  <c r="E36" i="15" l="1"/>
  <c r="F36" i="15" s="1"/>
  <c r="F42" i="15" s="1"/>
  <c r="A33" i="12"/>
  <c r="A32" i="12"/>
  <c r="A34" i="12" l="1"/>
  <c r="E40" i="12" l="1"/>
  <c r="F30" i="12"/>
  <c r="F40" i="12" l="1"/>
  <c r="F39" i="12"/>
  <c r="F37" i="12"/>
  <c r="F38" i="12"/>
  <c r="E36" i="12" l="1"/>
  <c r="F36" i="12" s="1"/>
  <c r="E35" i="12" l="1"/>
  <c r="F35" i="12" s="1"/>
  <c r="E34" i="12"/>
  <c r="B42" i="12"/>
  <c r="E32" i="12" l="1"/>
  <c r="F32" i="12" s="1"/>
  <c r="E31" i="12"/>
  <c r="F31" i="12" s="1"/>
  <c r="E33" i="12"/>
  <c r="F33" i="12" s="1"/>
  <c r="F34" i="12"/>
  <c r="F42" i="12" l="1"/>
</calcChain>
</file>

<file path=xl/sharedStrings.xml><?xml version="1.0" encoding="utf-8"?>
<sst xmlns="http://schemas.openxmlformats.org/spreadsheetml/2006/main" count="152" uniqueCount="71">
  <si>
    <t>PRODUCTION :</t>
  </si>
  <si>
    <t>Equipe :</t>
  </si>
  <si>
    <t>Caméra</t>
  </si>
  <si>
    <t>Noms :</t>
  </si>
  <si>
    <t>Date</t>
  </si>
  <si>
    <r>
      <t xml:space="preserve">Horaires de
travail Effectif 
</t>
    </r>
    <r>
      <rPr>
        <sz val="10"/>
        <color rgb="FF0070C0"/>
        <rFont val="Arial"/>
        <family val="2"/>
      </rPr>
      <t>(début et fin de journée)</t>
    </r>
  </si>
  <si>
    <t>Somme des Heures</t>
  </si>
  <si>
    <t>Heures de Nuit</t>
  </si>
  <si>
    <r>
      <t xml:space="preserve">Heures de Transports
</t>
    </r>
    <r>
      <rPr>
        <sz val="10"/>
        <color rgb="FF0070C0"/>
        <rFont val="Arial"/>
        <family val="2"/>
      </rPr>
      <t>(+50 Km de Paris)</t>
    </r>
  </si>
  <si>
    <t>TOTAL HEURES SEMAINE :</t>
  </si>
  <si>
    <t>TARIFS</t>
  </si>
  <si>
    <t>1er Ass OPV sp</t>
  </si>
  <si>
    <t>Tarif Horaire</t>
  </si>
  <si>
    <t>HEURES SIMPLES</t>
  </si>
  <si>
    <t>HEURES SUP +25 %</t>
  </si>
  <si>
    <t>HEURES SUP +50 %</t>
  </si>
  <si>
    <t>MAJ AU-DELA DE 12H/JOUR</t>
  </si>
  <si>
    <t>Heures de nuit :</t>
  </si>
  <si>
    <t>MAJ HEURES NUIT 25%</t>
  </si>
  <si>
    <t>MAJ HEURES ANTICIPEES 50%</t>
  </si>
  <si>
    <t>à</t>
  </si>
  <si>
    <t>Tarifs SEMAINE</t>
  </si>
  <si>
    <t>MAJ JOUR FERIE</t>
  </si>
  <si>
    <t>Production Audiovisuelle</t>
  </si>
  <si>
    <t>SALAIRE SEMAINE :</t>
  </si>
  <si>
    <t>2e Ass OPV sp</t>
  </si>
  <si>
    <t xml:space="preserve">Remplir la partie "infos" à titre indicatif: Semaine, Prod, Film etc... </t>
  </si>
  <si>
    <t>TV FILM/SERIE :</t>
  </si>
  <si>
    <t>Spécial</t>
  </si>
  <si>
    <t>MAJ DIMANCHE</t>
  </si>
  <si>
    <t>Ass OPV Adj</t>
  </si>
  <si>
    <t>découlent.</t>
  </si>
  <si>
    <t>La feuille va donc calculer le total des heures au-delà de 35h, ainsi que les majorations à 25% et 50% qui en</t>
  </si>
  <si>
    <t>Puis remplir les horaires de travail effectifs soit : arrivée sur le plateau et fermeture du camion en fin de journée.</t>
  </si>
  <si>
    <t>Il faut respecter le format  "hh:mm" par exemple 20:00 pour 20h00.</t>
  </si>
  <si>
    <t>Ce classeur de feuilles d'heures se remplit de la façon suivante :</t>
  </si>
  <si>
    <t xml:space="preserve">Le remplissage de la partie "infos", des dates et des heures sur la feuille "1er Ass" entraine le repport automatique </t>
  </si>
  <si>
    <t>des mêmes valeurs sur les feuilles suivantes. Elles seront modifiables individuellement par la suite si besoin.</t>
  </si>
  <si>
    <t>Pour signaler un problème ou un bug, contactez : ugovillion@gmail.com</t>
  </si>
  <si>
    <t>"Production"</t>
  </si>
  <si>
    <t>Semaine N°</t>
  </si>
  <si>
    <t>"Film"</t>
  </si>
  <si>
    <t>John Smith</t>
  </si>
  <si>
    <t xml:space="preserve">bloqués et générés automatiquement par la feuille. </t>
  </si>
  <si>
    <t>Du</t>
  </si>
  <si>
    <t>Au</t>
  </si>
  <si>
    <r>
      <t xml:space="preserve">Heures Anticipées
</t>
    </r>
    <r>
      <rPr>
        <sz val="10"/>
        <color rgb="FF0070C0"/>
        <rFont val="Arial"/>
        <family val="2"/>
      </rPr>
      <t>(- de 11h de repos journalier)</t>
    </r>
  </si>
  <si>
    <t>HEURES DE TRANSPORT</t>
  </si>
  <si>
    <t>La feuille prend en compte la période des heures de nuit (été ou hiver) en se basant sur les dates de la</t>
  </si>
  <si>
    <t>Tarif semaine 35H</t>
  </si>
  <si>
    <t>Heure Coupure Repas                      Début / Fin</t>
  </si>
  <si>
    <r>
      <t>semaine saisie. Pour rappel, la période de nuit est comprise entre</t>
    </r>
    <r>
      <rPr>
        <b/>
        <sz val="11"/>
        <color theme="1"/>
        <rFont val="Century Gothic"/>
        <family val="1"/>
      </rPr>
      <t xml:space="preserve"> 20h et 6h du 21 décembre au 20 mars</t>
    </r>
    <r>
      <rPr>
        <sz val="11"/>
        <color theme="1"/>
        <rFont val="Century Gothic"/>
        <family val="1"/>
      </rPr>
      <t xml:space="preserve">, </t>
    </r>
  </si>
  <si>
    <r>
      <t xml:space="preserve">puis de </t>
    </r>
    <r>
      <rPr>
        <b/>
        <sz val="11"/>
        <color theme="1"/>
        <rFont val="Century Gothic"/>
        <family val="1"/>
      </rPr>
      <t>22h à 7h du 21 mars au 20 décembre</t>
    </r>
    <r>
      <rPr>
        <sz val="11"/>
        <color theme="1"/>
        <rFont val="Century Gothic"/>
        <family val="1"/>
      </rPr>
      <t xml:space="preserve">. </t>
    </r>
  </si>
  <si>
    <t>(Semaine 35h mini)</t>
  </si>
  <si>
    <r>
      <t xml:space="preserve">Rentrer la date du début de la semaine de travail </t>
    </r>
    <r>
      <rPr>
        <b/>
        <sz val="11"/>
        <rFont val="Century Gothic"/>
        <family val="1"/>
      </rPr>
      <t>en respectant le Format "=DATE(aaaa;m;j)"</t>
    </r>
  </si>
  <si>
    <t>Par exemple : saisir =DATE(2024;6;3) pour une semaine allant du 03/06/2024 au 09/06/2024.</t>
  </si>
  <si>
    <t>La feuille générera elle-même la date de fin semaine et les jours correspondants.</t>
  </si>
  <si>
    <t>Chaque feuille correspond à un poste différent (1er assistant OPV, 2nd assistant OPV &amp; assistant OPV adjoint).</t>
  </si>
  <si>
    <t xml:space="preserve">Indiquer également les heures de début de repas, la feuille completera automatiquement l'heure de fin de repas, en ajoutant une heure. </t>
  </si>
  <si>
    <t xml:space="preserve">Si votre pause repas est réduite, vous pourrez modifier manuellement la cellule d'horaire de fin de repas en déverouillant la feuille. </t>
  </si>
  <si>
    <t>La feuille prend en compte les journées continues et les coupures réduites le cas écheant.</t>
  </si>
  <si>
    <r>
      <rPr>
        <b/>
        <sz val="11"/>
        <rFont val="Geneva"/>
        <family val="2"/>
      </rPr>
      <t>Attention : la feuille est verouillée, il ne faut remplir QUE les champs qui sont indiqués en italique</t>
    </r>
    <r>
      <rPr>
        <sz val="11"/>
        <rFont val="Geneva"/>
        <family val="2"/>
      </rPr>
      <t xml:space="preserve">, les autres sont </t>
    </r>
  </si>
  <si>
    <t>Si vous souhaitez modifier les cellules protégées, allez dans l'onglet "Révision" -&gt; "Ôtez la protection de la feuille".</t>
  </si>
  <si>
    <t>Il n'y a pas de mot de passe pour ôter la protection.</t>
  </si>
  <si>
    <t xml:space="preserve">Durée de pause en cas </t>
  </si>
  <si>
    <t>de journée continue :</t>
  </si>
  <si>
    <t xml:space="preserve"> de 35h à 43h (8h)</t>
  </si>
  <si>
    <t xml:space="preserve"> de 43h à 47h (4h)</t>
  </si>
  <si>
    <t xml:space="preserve"> et au-delà de 47h</t>
  </si>
  <si>
    <t>Matrice d'heures USPA - AOA - Version 2.3 - MaJ du 8/11/2024 - Tarifs : avenant du 1er juillet 2024</t>
  </si>
  <si>
    <t xml:space="preserve">Version 2.3 : Développement sous Excel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</si>
</sst>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)\ _€_ ;_ * \(#,##0.00\)\ _€_ ;_ * &quot;-&quot;??_)\ _€_ ;_ @_ "/>
    <numFmt numFmtId="164" formatCode="[h]:mm"/>
    <numFmt numFmtId="165" formatCode="h:mm;@"/>
    <numFmt numFmtId="166" formatCode="#,##0.00\ &quot;€&quot;"/>
  </numFmts>
  <fonts count="50">
    <font>
      <sz val="9"/>
      <name val="Geneva"/>
    </font>
    <font>
      <sz val="9"/>
      <name val="Arial"/>
      <family val="2"/>
    </font>
    <font>
      <b/>
      <u/>
      <sz val="9"/>
      <name val="Arial"/>
      <family val="2"/>
    </font>
    <font>
      <b/>
      <i/>
      <u/>
      <sz val="9"/>
      <name val="Arial"/>
      <family val="2"/>
    </font>
    <font>
      <b/>
      <u/>
      <sz val="9"/>
      <color theme="6" tint="-0.499984740745262"/>
      <name val="Arial"/>
      <family val="2"/>
    </font>
    <font>
      <b/>
      <u/>
      <sz val="9"/>
      <color theme="2" tint="-0.749992370372631"/>
      <name val="Arial"/>
      <family val="2"/>
    </font>
    <font>
      <sz val="9"/>
      <color theme="2" tint="-0.749992370372631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b/>
      <sz val="12"/>
      <color theme="5" tint="-0.249977111117893"/>
      <name val="Arial"/>
      <family val="2"/>
    </font>
    <font>
      <sz val="12"/>
      <color theme="5" tint="-0.249977111117893"/>
      <name val="Arial"/>
      <family val="2"/>
    </font>
    <font>
      <b/>
      <sz val="12"/>
      <color theme="6" tint="-0.499984740745262"/>
      <name val="Arial"/>
      <family val="2"/>
    </font>
    <font>
      <b/>
      <sz val="12"/>
      <color theme="2" tint="-0.749992370372631"/>
      <name val="Arial"/>
      <family val="2"/>
    </font>
    <font>
      <b/>
      <sz val="12"/>
      <color theme="7" tint="-0.249977111117893"/>
      <name val="Arial"/>
      <family val="2"/>
    </font>
    <font>
      <i/>
      <sz val="12"/>
      <color theme="7" tint="-0.499984740745262"/>
      <name val="Arial"/>
      <family val="2"/>
    </font>
    <font>
      <sz val="12"/>
      <color theme="7" tint="-0.499984740745262"/>
      <name val="Arial"/>
      <family val="2"/>
    </font>
    <font>
      <b/>
      <sz val="11"/>
      <color theme="9" tint="-0.249977111117893"/>
      <name val="Arial"/>
      <family val="2"/>
    </font>
    <font>
      <sz val="10"/>
      <color theme="6" tint="-0.499984740745262"/>
      <name val="Arial"/>
      <family val="2"/>
    </font>
    <font>
      <b/>
      <sz val="12"/>
      <color indexed="18"/>
      <name val="Arial"/>
      <family val="2"/>
    </font>
    <font>
      <i/>
      <sz val="12"/>
      <name val="Arial Black"/>
      <family val="2"/>
    </font>
    <font>
      <sz val="9"/>
      <color theme="0"/>
      <name val="Arial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2"/>
      <color theme="0"/>
      <name val="Arial"/>
      <family val="2"/>
    </font>
    <font>
      <b/>
      <i/>
      <sz val="12"/>
      <name val="Arial"/>
      <family val="2"/>
    </font>
    <font>
      <sz val="12"/>
      <name val="Arial Black"/>
      <family val="2"/>
    </font>
    <font>
      <sz val="16"/>
      <name val="Century Gothic"/>
      <family val="1"/>
    </font>
    <font>
      <sz val="16"/>
      <color rgb="FFFF0000"/>
      <name val="Century Gothic"/>
      <family val="1"/>
    </font>
    <font>
      <sz val="14"/>
      <name val="Geneva"/>
      <family val="2"/>
    </font>
    <font>
      <sz val="9"/>
      <name val="Geneva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sz val="11"/>
      <color theme="0"/>
      <name val="Arial"/>
      <family val="2"/>
    </font>
    <font>
      <i/>
      <sz val="11"/>
      <name val="Geneva"/>
      <family val="2"/>
    </font>
    <font>
      <sz val="11"/>
      <name val="Geneva"/>
      <family val="2"/>
    </font>
    <font>
      <b/>
      <sz val="11"/>
      <name val="Century Gothic"/>
      <family val="1"/>
    </font>
    <font>
      <sz val="11"/>
      <name val="Century Gothic"/>
      <family val="1"/>
    </font>
    <font>
      <i/>
      <sz val="11"/>
      <name val="Century Gothic"/>
      <family val="1"/>
    </font>
    <font>
      <sz val="11"/>
      <color theme="1"/>
      <name val="Century Gothic"/>
      <family val="1"/>
    </font>
    <font>
      <sz val="11"/>
      <color rgb="FFFF0000"/>
      <name val="Century Gothic"/>
      <family val="1"/>
    </font>
    <font>
      <b/>
      <sz val="11"/>
      <color theme="1"/>
      <name val="Century Gothic"/>
      <family val="1"/>
    </font>
    <font>
      <sz val="11"/>
      <name val="Geneva"/>
      <family val="2"/>
    </font>
    <font>
      <i/>
      <sz val="11"/>
      <name val="Geneva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name val="Geneva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FFFFFF"/>
        <bgColor rgb="FF000000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3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3" fontId="33" fillId="0" borderId="0" applyFont="0" applyFill="0" applyBorder="0" applyAlignment="0" applyProtection="0"/>
  </cellStyleXfs>
  <cellXfs count="20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4" borderId="20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4" fillId="9" borderId="6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49" fontId="6" fillId="13" borderId="8" xfId="0" applyNumberFormat="1" applyFont="1" applyFill="1" applyBorder="1" applyAlignment="1">
      <alignment vertical="center"/>
    </xf>
    <xf numFmtId="49" fontId="6" fillId="3" borderId="8" xfId="0" applyNumberFormat="1" applyFont="1" applyFill="1" applyBorder="1" applyAlignment="1">
      <alignment vertical="center"/>
    </xf>
    <xf numFmtId="20" fontId="8" fillId="12" borderId="2" xfId="0" applyNumberFormat="1" applyFont="1" applyFill="1" applyBorder="1" applyAlignment="1">
      <alignment horizontal="center" vertical="center"/>
    </xf>
    <xf numFmtId="0" fontId="8" fillId="15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164" fontId="8" fillId="9" borderId="7" xfId="0" applyNumberFormat="1" applyFont="1" applyFill="1" applyBorder="1" applyAlignment="1">
      <alignment horizontal="center" vertical="center"/>
    </xf>
    <xf numFmtId="164" fontId="8" fillId="8" borderId="0" xfId="0" applyNumberFormat="1" applyFont="1" applyFill="1" applyAlignment="1">
      <alignment horizontal="center" vertical="center"/>
    </xf>
    <xf numFmtId="164" fontId="8" fillId="9" borderId="0" xfId="0" applyNumberFormat="1" applyFont="1" applyFill="1" applyAlignment="1">
      <alignment horizontal="center" vertical="center"/>
    </xf>
    <xf numFmtId="164" fontId="8" fillId="3" borderId="12" xfId="0" applyNumberFormat="1" applyFont="1" applyFill="1" applyBorder="1" applyAlignment="1">
      <alignment horizontal="center" vertical="center"/>
    </xf>
    <xf numFmtId="164" fontId="8" fillId="13" borderId="0" xfId="0" applyNumberFormat="1" applyFont="1" applyFill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49" fontId="11" fillId="4" borderId="16" xfId="0" applyNumberFormat="1" applyFont="1" applyFill="1" applyBorder="1" applyAlignment="1">
      <alignment horizontal="center" vertical="top"/>
    </xf>
    <xf numFmtId="49" fontId="11" fillId="4" borderId="1" xfId="0" applyNumberFormat="1" applyFont="1" applyFill="1" applyBorder="1" applyAlignment="1">
      <alignment horizontal="center" vertical="top" wrapText="1"/>
    </xf>
    <xf numFmtId="49" fontId="11" fillId="4" borderId="1" xfId="0" applyNumberFormat="1" applyFont="1" applyFill="1" applyBorder="1" applyAlignment="1">
      <alignment horizontal="center" vertical="top"/>
    </xf>
    <xf numFmtId="49" fontId="11" fillId="4" borderId="4" xfId="0" applyNumberFormat="1" applyFont="1" applyFill="1" applyBorder="1" applyAlignment="1">
      <alignment horizontal="center" vertical="top" wrapText="1"/>
    </xf>
    <xf numFmtId="49" fontId="11" fillId="4" borderId="24" xfId="0" applyNumberFormat="1" applyFont="1" applyFill="1" applyBorder="1" applyAlignment="1">
      <alignment horizontal="center" vertical="top" wrapText="1"/>
    </xf>
    <xf numFmtId="0" fontId="14" fillId="4" borderId="7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21" fillId="8" borderId="8" xfId="0" applyFont="1" applyFill="1" applyBorder="1" applyAlignment="1">
      <alignment horizontal="left" vertical="center"/>
    </xf>
    <xf numFmtId="0" fontId="21" fillId="9" borderId="8" xfId="0" applyFont="1" applyFill="1" applyBorder="1" applyAlignment="1">
      <alignment horizontal="left" vertical="center"/>
    </xf>
    <xf numFmtId="0" fontId="22" fillId="12" borderId="20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left" vertical="center"/>
    </xf>
    <xf numFmtId="0" fontId="23" fillId="7" borderId="22" xfId="0" applyFont="1" applyFill="1" applyBorder="1" applyAlignment="1">
      <alignment horizontal="left" vertical="center"/>
    </xf>
    <xf numFmtId="0" fontId="23" fillId="11" borderId="23" xfId="0" applyFont="1" applyFill="1" applyBorder="1" applyAlignment="1">
      <alignment horizontal="left" vertical="top"/>
    </xf>
    <xf numFmtId="165" fontId="24" fillId="0" borderId="25" xfId="0" applyNumberFormat="1" applyFont="1" applyBorder="1"/>
    <xf numFmtId="20" fontId="27" fillId="4" borderId="2" xfId="0" applyNumberFormat="1" applyFont="1" applyFill="1" applyBorder="1" applyAlignment="1">
      <alignment horizontal="center" vertical="center"/>
    </xf>
    <xf numFmtId="0" fontId="5" fillId="13" borderId="8" xfId="0" applyFont="1" applyFill="1" applyBorder="1" applyAlignment="1">
      <alignment vertical="center"/>
    </xf>
    <xf numFmtId="0" fontId="29" fillId="7" borderId="21" xfId="0" applyFont="1" applyFill="1" applyBorder="1" applyAlignment="1">
      <alignment horizontal="right" vertical="center"/>
    </xf>
    <xf numFmtId="0" fontId="29" fillId="7" borderId="12" xfId="0" applyFont="1" applyFill="1" applyBorder="1" applyAlignment="1">
      <alignment horizontal="right" vertical="center"/>
    </xf>
    <xf numFmtId="0" fontId="29" fillId="11" borderId="20" xfId="0" applyFont="1" applyFill="1" applyBorder="1" applyAlignment="1">
      <alignment horizontal="right" vertical="center"/>
    </xf>
    <xf numFmtId="0" fontId="29" fillId="11" borderId="10" xfId="0" applyFont="1" applyFill="1" applyBorder="1" applyAlignment="1">
      <alignment horizontal="right" vertical="top"/>
    </xf>
    <xf numFmtId="14" fontId="1" fillId="0" borderId="0" xfId="0" applyNumberFormat="1" applyFont="1" applyAlignment="1">
      <alignment horizontal="center" vertical="center"/>
    </xf>
    <xf numFmtId="164" fontId="8" fillId="12" borderId="2" xfId="0" applyNumberFormat="1" applyFont="1" applyFill="1" applyBorder="1" applyAlignment="1">
      <alignment horizontal="center" vertical="center"/>
    </xf>
    <xf numFmtId="0" fontId="0" fillId="4" borderId="22" xfId="0" applyFill="1" applyBorder="1"/>
    <xf numFmtId="0" fontId="0" fillId="4" borderId="23" xfId="0" applyFill="1" applyBorder="1"/>
    <xf numFmtId="0" fontId="30" fillId="9" borderId="23" xfId="0" applyFont="1" applyFill="1" applyBorder="1"/>
    <xf numFmtId="0" fontId="30" fillId="0" borderId="0" xfId="0" applyFont="1"/>
    <xf numFmtId="0" fontId="31" fillId="5" borderId="23" xfId="0" applyFont="1" applyFill="1" applyBorder="1"/>
    <xf numFmtId="0" fontId="23" fillId="7" borderId="12" xfId="0" applyFont="1" applyFill="1" applyBorder="1" applyAlignment="1" applyProtection="1">
      <alignment horizontal="left" vertical="center"/>
      <protection locked="0"/>
    </xf>
    <xf numFmtId="0" fontId="23" fillId="11" borderId="0" xfId="0" applyFont="1" applyFill="1" applyAlignment="1" applyProtection="1">
      <alignment horizontal="left" vertical="center"/>
      <protection locked="0"/>
    </xf>
    <xf numFmtId="0" fontId="32" fillId="0" borderId="0" xfId="0" applyFont="1"/>
    <xf numFmtId="0" fontId="32" fillId="12" borderId="23" xfId="0" applyFont="1" applyFill="1" applyBorder="1"/>
    <xf numFmtId="164" fontId="7" fillId="12" borderId="25" xfId="0" applyNumberFormat="1" applyFont="1" applyFill="1" applyBorder="1" applyAlignment="1" applyProtection="1">
      <alignment horizontal="center" vertical="center"/>
      <protection locked="0"/>
    </xf>
    <xf numFmtId="0" fontId="31" fillId="9" borderId="23" xfId="0" applyFont="1" applyFill="1" applyBorder="1"/>
    <xf numFmtId="0" fontId="30" fillId="11" borderId="23" xfId="0" applyFont="1" applyFill="1" applyBorder="1"/>
    <xf numFmtId="0" fontId="30" fillId="12" borderId="23" xfId="0" applyFont="1" applyFill="1" applyBorder="1"/>
    <xf numFmtId="0" fontId="29" fillId="11" borderId="0" xfId="0" applyFont="1" applyFill="1" applyAlignment="1">
      <alignment horizontal="right" vertical="center"/>
    </xf>
    <xf numFmtId="0" fontId="23" fillId="11" borderId="23" xfId="0" applyFont="1" applyFill="1" applyBorder="1" applyAlignment="1">
      <alignment horizontal="left" vertical="center"/>
    </xf>
    <xf numFmtId="14" fontId="23" fillId="11" borderId="23" xfId="0" applyNumberFormat="1" applyFont="1" applyFill="1" applyBorder="1" applyAlignment="1" applyProtection="1">
      <alignment horizontal="center" vertical="center"/>
      <protection locked="0"/>
    </xf>
    <xf numFmtId="0" fontId="23" fillId="7" borderId="22" xfId="0" applyFont="1" applyFill="1" applyBorder="1" applyAlignment="1" applyProtection="1">
      <alignment horizontal="center" vertical="center"/>
      <protection locked="0"/>
    </xf>
    <xf numFmtId="14" fontId="8" fillId="12" borderId="20" xfId="0" applyNumberFormat="1" applyFont="1" applyFill="1" applyBorder="1" applyAlignment="1">
      <alignment horizontal="center" vertical="center"/>
    </xf>
    <xf numFmtId="164" fontId="28" fillId="12" borderId="5" xfId="0" applyNumberFormat="1" applyFont="1" applyFill="1" applyBorder="1" applyAlignment="1" applyProtection="1">
      <alignment horizontal="center" vertical="center"/>
      <protection locked="0"/>
    </xf>
    <xf numFmtId="20" fontId="27" fillId="4" borderId="5" xfId="0" applyNumberFormat="1" applyFont="1" applyFill="1" applyBorder="1" applyAlignment="1">
      <alignment horizontal="center" vertical="center"/>
    </xf>
    <xf numFmtId="164" fontId="28" fillId="12" borderId="5" xfId="31" applyNumberFormat="1" applyFont="1" applyFill="1" applyBorder="1" applyAlignment="1" applyProtection="1">
      <alignment horizontal="center" vertical="center"/>
      <protection locked="0"/>
    </xf>
    <xf numFmtId="164" fontId="8" fillId="4" borderId="2" xfId="0" applyNumberFormat="1" applyFont="1" applyFill="1" applyBorder="1" applyAlignment="1">
      <alignment horizontal="center" vertical="center"/>
    </xf>
    <xf numFmtId="164" fontId="27" fillId="4" borderId="20" xfId="0" applyNumberFormat="1" applyFont="1" applyFill="1" applyBorder="1" applyAlignment="1">
      <alignment horizontal="center" vertical="center"/>
    </xf>
    <xf numFmtId="21" fontId="8" fillId="15" borderId="2" xfId="0" applyNumberFormat="1" applyFont="1" applyFill="1" applyBorder="1" applyAlignment="1">
      <alignment horizontal="center" vertical="center"/>
    </xf>
    <xf numFmtId="164" fontId="34" fillId="4" borderId="2" xfId="0" applyNumberFormat="1" applyFont="1" applyFill="1" applyBorder="1" applyAlignment="1">
      <alignment horizontal="center" vertical="center"/>
    </xf>
    <xf numFmtId="164" fontId="27" fillId="4" borderId="2" xfId="0" applyNumberFormat="1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164" fontId="18" fillId="10" borderId="8" xfId="0" applyNumberFormat="1" applyFont="1" applyFill="1" applyBorder="1" applyAlignment="1">
      <alignment horizontal="center" vertical="center"/>
    </xf>
    <xf numFmtId="0" fontId="19" fillId="10" borderId="8" xfId="0" applyFont="1" applyFill="1" applyBorder="1" applyAlignment="1">
      <alignment horizontal="center" vertical="center"/>
    </xf>
    <xf numFmtId="164" fontId="18" fillId="10" borderId="9" xfId="0" applyNumberFormat="1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right" vertical="center"/>
    </xf>
    <xf numFmtId="0" fontId="13" fillId="6" borderId="25" xfId="0" applyFont="1" applyFill="1" applyBorder="1" applyAlignment="1">
      <alignment horizontal="right" vertical="center"/>
    </xf>
    <xf numFmtId="0" fontId="15" fillId="9" borderId="27" xfId="0" applyFont="1" applyFill="1" applyBorder="1" applyAlignment="1">
      <alignment horizontal="right" vertical="center"/>
    </xf>
    <xf numFmtId="0" fontId="15" fillId="8" borderId="23" xfId="0" applyFont="1" applyFill="1" applyBorder="1" applyAlignment="1">
      <alignment horizontal="right" vertical="center"/>
    </xf>
    <xf numFmtId="0" fontId="15" fillId="9" borderId="23" xfId="0" applyFont="1" applyFill="1" applyBorder="1" applyAlignment="1">
      <alignment horizontal="right" vertical="center"/>
    </xf>
    <xf numFmtId="0" fontId="16" fillId="3" borderId="22" xfId="0" applyFont="1" applyFill="1" applyBorder="1" applyAlignment="1">
      <alignment horizontal="right" vertical="center"/>
    </xf>
    <xf numFmtId="0" fontId="16" fillId="13" borderId="23" xfId="0" applyFont="1" applyFill="1" applyBorder="1" applyAlignment="1">
      <alignment horizontal="right" vertical="center"/>
    </xf>
    <xf numFmtId="0" fontId="16" fillId="3" borderId="23" xfId="0" applyFont="1" applyFill="1" applyBorder="1" applyAlignment="1">
      <alignment horizontal="right" vertical="center"/>
    </xf>
    <xf numFmtId="0" fontId="8" fillId="12" borderId="2" xfId="0" applyFont="1" applyFill="1" applyBorder="1" applyAlignment="1">
      <alignment horizontal="center" vertical="center"/>
    </xf>
    <xf numFmtId="4" fontId="8" fillId="9" borderId="13" xfId="0" applyNumberFormat="1" applyFont="1" applyFill="1" applyBorder="1" applyAlignment="1">
      <alignment horizontal="center" vertical="center"/>
    </xf>
    <xf numFmtId="4" fontId="8" fillId="8" borderId="14" xfId="0" applyNumberFormat="1" applyFont="1" applyFill="1" applyBorder="1" applyAlignment="1">
      <alignment horizontal="center" vertical="center"/>
    </xf>
    <xf numFmtId="4" fontId="8" fillId="9" borderId="14" xfId="0" applyNumberFormat="1" applyFont="1" applyFill="1" applyBorder="1" applyAlignment="1">
      <alignment horizontal="center" vertical="center"/>
    </xf>
    <xf numFmtId="4" fontId="8" fillId="3" borderId="30" xfId="0" applyNumberFormat="1" applyFont="1" applyFill="1" applyBorder="1" applyAlignment="1">
      <alignment horizontal="center" vertical="center"/>
    </xf>
    <xf numFmtId="4" fontId="8" fillId="13" borderId="14" xfId="0" applyNumberFormat="1" applyFont="1" applyFill="1" applyBorder="1" applyAlignment="1">
      <alignment horizontal="center" vertical="center"/>
    </xf>
    <xf numFmtId="4" fontId="8" fillId="3" borderId="14" xfId="0" applyNumberFormat="1" applyFont="1" applyFill="1" applyBorder="1" applyAlignment="1">
      <alignment horizontal="center" vertical="center"/>
    </xf>
    <xf numFmtId="0" fontId="16" fillId="5" borderId="31" xfId="0" applyFont="1" applyFill="1" applyBorder="1" applyAlignment="1">
      <alignment horizontal="right" vertical="center"/>
    </xf>
    <xf numFmtId="164" fontId="10" fillId="5" borderId="32" xfId="0" applyNumberFormat="1" applyFont="1" applyFill="1" applyBorder="1" applyAlignment="1">
      <alignment horizontal="center" vertical="center"/>
    </xf>
    <xf numFmtId="4" fontId="10" fillId="5" borderId="33" xfId="0" applyNumberFormat="1" applyFont="1" applyFill="1" applyBorder="1" applyAlignment="1">
      <alignment horizontal="center" vertical="center"/>
    </xf>
    <xf numFmtId="4" fontId="10" fillId="5" borderId="34" xfId="0" applyNumberFormat="1" applyFont="1" applyFill="1" applyBorder="1" applyAlignment="1">
      <alignment horizontal="center" vertical="center"/>
    </xf>
    <xf numFmtId="0" fontId="13" fillId="14" borderId="26" xfId="0" applyFont="1" applyFill="1" applyBorder="1" applyAlignment="1">
      <alignment horizontal="right" vertical="center"/>
    </xf>
    <xf numFmtId="0" fontId="8" fillId="14" borderId="10" xfId="0" applyFont="1" applyFill="1" applyBorder="1" applyAlignment="1">
      <alignment horizontal="center" vertical="center"/>
    </xf>
    <xf numFmtId="2" fontId="8" fillId="14" borderId="15" xfId="0" applyNumberFormat="1" applyFont="1" applyFill="1" applyBorder="1" applyAlignment="1">
      <alignment horizontal="center" vertical="center"/>
    </xf>
    <xf numFmtId="0" fontId="30" fillId="4" borderId="23" xfId="0" applyFont="1" applyFill="1" applyBorder="1"/>
    <xf numFmtId="0" fontId="0" fillId="4" borderId="0" xfId="0" applyFill="1"/>
    <xf numFmtId="0" fontId="31" fillId="4" borderId="23" xfId="0" applyFont="1" applyFill="1" applyBorder="1"/>
    <xf numFmtId="0" fontId="30" fillId="4" borderId="0" xfId="0" applyFont="1" applyFill="1"/>
    <xf numFmtId="0" fontId="23" fillId="11" borderId="0" xfId="0" applyFont="1" applyFill="1" applyAlignment="1">
      <alignment horizontal="left" vertical="top"/>
    </xf>
    <xf numFmtId="0" fontId="23" fillId="11" borderId="0" xfId="0" applyFont="1" applyFill="1" applyAlignment="1">
      <alignment horizontal="left" vertical="center"/>
    </xf>
    <xf numFmtId="0" fontId="23" fillId="7" borderId="12" xfId="0" applyFont="1" applyFill="1" applyBorder="1" applyAlignment="1">
      <alignment horizontal="left" vertical="center"/>
    </xf>
    <xf numFmtId="20" fontId="7" fillId="12" borderId="2" xfId="0" applyNumberFormat="1" applyFont="1" applyFill="1" applyBorder="1" applyAlignment="1" applyProtection="1">
      <alignment horizontal="center" vertical="center"/>
      <protection locked="0"/>
    </xf>
    <xf numFmtId="0" fontId="29" fillId="7" borderId="12" xfId="0" applyFont="1" applyFill="1" applyBorder="1" applyAlignment="1">
      <alignment horizontal="left" vertical="center"/>
    </xf>
    <xf numFmtId="0" fontId="34" fillId="4" borderId="2" xfId="0" applyFont="1" applyFill="1" applyBorder="1" applyAlignment="1">
      <alignment horizontal="center" vertical="center"/>
    </xf>
    <xf numFmtId="20" fontId="34" fillId="4" borderId="2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/>
    </xf>
    <xf numFmtId="0" fontId="13" fillId="4" borderId="27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2" fontId="8" fillId="14" borderId="28" xfId="0" applyNumberFormat="1" applyFont="1" applyFill="1" applyBorder="1" applyAlignment="1">
      <alignment horizontal="center" vertical="center"/>
    </xf>
    <xf numFmtId="4" fontId="8" fillId="9" borderId="27" xfId="0" applyNumberFormat="1" applyFont="1" applyFill="1" applyBorder="1" applyAlignment="1">
      <alignment horizontal="center" vertical="center"/>
    </xf>
    <xf numFmtId="4" fontId="8" fillId="8" borderId="23" xfId="0" applyNumberFormat="1" applyFont="1" applyFill="1" applyBorder="1" applyAlignment="1">
      <alignment horizontal="center" vertical="center"/>
    </xf>
    <xf numFmtId="4" fontId="8" fillId="9" borderId="23" xfId="0" applyNumberFormat="1" applyFont="1" applyFill="1" applyBorder="1" applyAlignment="1">
      <alignment horizontal="center" vertical="center"/>
    </xf>
    <xf numFmtId="4" fontId="8" fillId="3" borderId="22" xfId="0" applyNumberFormat="1" applyFont="1" applyFill="1" applyBorder="1" applyAlignment="1">
      <alignment horizontal="center" vertical="center"/>
    </xf>
    <xf numFmtId="4" fontId="8" fillId="13" borderId="23" xfId="0" applyNumberFormat="1" applyFont="1" applyFill="1" applyBorder="1" applyAlignment="1">
      <alignment horizontal="center" vertical="center"/>
    </xf>
    <xf numFmtId="4" fontId="8" fillId="3" borderId="23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2" fillId="0" borderId="35" xfId="0" applyFont="1" applyBorder="1"/>
    <xf numFmtId="0" fontId="2" fillId="16" borderId="0" xfId="0" applyFont="1" applyFill="1" applyAlignment="1">
      <alignment horizontal="center" vertical="center"/>
    </xf>
    <xf numFmtId="0" fontId="35" fillId="16" borderId="19" xfId="0" applyFont="1" applyFill="1" applyBorder="1" applyAlignment="1">
      <alignment horizontal="center"/>
    </xf>
    <xf numFmtId="0" fontId="20" fillId="16" borderId="20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right" vertical="center"/>
    </xf>
    <xf numFmtId="164" fontId="9" fillId="2" borderId="37" xfId="0" applyNumberFormat="1" applyFont="1" applyFill="1" applyBorder="1" applyAlignment="1">
      <alignment horizontal="center" vertical="center"/>
    </xf>
    <xf numFmtId="164" fontId="9" fillId="2" borderId="38" xfId="0" applyNumberFormat="1" applyFont="1" applyFill="1" applyBorder="1" applyAlignment="1">
      <alignment horizontal="center" vertical="center"/>
    </xf>
    <xf numFmtId="164" fontId="9" fillId="2" borderId="36" xfId="0" applyNumberFormat="1" applyFont="1" applyFill="1" applyBorder="1" applyAlignment="1">
      <alignment horizontal="center" vertical="center"/>
    </xf>
    <xf numFmtId="164" fontId="36" fillId="4" borderId="20" xfId="0" applyNumberFormat="1" applyFont="1" applyFill="1" applyBorder="1" applyAlignment="1">
      <alignment horizontal="center" vertical="center"/>
    </xf>
    <xf numFmtId="164" fontId="24" fillId="4" borderId="20" xfId="0" applyNumberFormat="1" applyFont="1" applyFill="1" applyBorder="1" applyAlignment="1">
      <alignment horizontal="center" vertical="center"/>
    </xf>
    <xf numFmtId="0" fontId="24" fillId="4" borderId="20" xfId="0" applyFont="1" applyFill="1" applyBorder="1" applyAlignment="1">
      <alignment vertical="center"/>
    </xf>
    <xf numFmtId="0" fontId="37" fillId="4" borderId="21" xfId="0" applyFont="1" applyFill="1" applyBorder="1"/>
    <xf numFmtId="0" fontId="37" fillId="4" borderId="12" xfId="0" applyFont="1" applyFill="1" applyBorder="1"/>
    <xf numFmtId="0" fontId="37" fillId="4" borderId="22" xfId="0" applyFont="1" applyFill="1" applyBorder="1"/>
    <xf numFmtId="0" fontId="38" fillId="4" borderId="20" xfId="0" applyFont="1" applyFill="1" applyBorder="1"/>
    <xf numFmtId="0" fontId="38" fillId="4" borderId="23" xfId="0" applyFont="1" applyFill="1" applyBorder="1"/>
    <xf numFmtId="0" fontId="39" fillId="4" borderId="20" xfId="0" applyFont="1" applyFill="1" applyBorder="1" applyAlignment="1">
      <alignment vertical="center"/>
    </xf>
    <xf numFmtId="0" fontId="38" fillId="4" borderId="23" xfId="0" applyFont="1" applyFill="1" applyBorder="1" applyAlignment="1">
      <alignment vertical="center"/>
    </xf>
    <xf numFmtId="0" fontId="41" fillId="4" borderId="20" xfId="0" applyFont="1" applyFill="1" applyBorder="1" applyAlignment="1">
      <alignment vertical="center"/>
    </xf>
    <xf numFmtId="0" fontId="40" fillId="11" borderId="20" xfId="0" applyFont="1" applyFill="1" applyBorder="1" applyAlignment="1">
      <alignment vertical="center"/>
    </xf>
    <xf numFmtId="0" fontId="40" fillId="11" borderId="23" xfId="0" applyFont="1" applyFill="1" applyBorder="1" applyAlignment="1">
      <alignment vertical="center"/>
    </xf>
    <xf numFmtId="0" fontId="40" fillId="4" borderId="20" xfId="0" applyFont="1" applyFill="1" applyBorder="1" applyAlignment="1">
      <alignment vertical="center"/>
    </xf>
    <xf numFmtId="0" fontId="40" fillId="4" borderId="23" xfId="0" applyFont="1" applyFill="1" applyBorder="1" applyAlignment="1">
      <alignment vertical="center"/>
    </xf>
    <xf numFmtId="0" fontId="40" fillId="12" borderId="20" xfId="0" applyFont="1" applyFill="1" applyBorder="1" applyAlignment="1">
      <alignment vertical="center"/>
    </xf>
    <xf numFmtId="0" fontId="40" fillId="9" borderId="20" xfId="0" applyFont="1" applyFill="1" applyBorder="1" applyAlignment="1">
      <alignment vertical="center"/>
    </xf>
    <xf numFmtId="0" fontId="40" fillId="9" borderId="23" xfId="0" applyFont="1" applyFill="1" applyBorder="1" applyAlignment="1">
      <alignment vertical="center"/>
    </xf>
    <xf numFmtId="0" fontId="42" fillId="9" borderId="20" xfId="0" applyFont="1" applyFill="1" applyBorder="1" applyAlignment="1">
      <alignment vertical="center"/>
    </xf>
    <xf numFmtId="0" fontId="43" fillId="9" borderId="23" xfId="0" applyFont="1" applyFill="1" applyBorder="1" applyAlignment="1">
      <alignment vertical="center"/>
    </xf>
    <xf numFmtId="0" fontId="42" fillId="4" borderId="20" xfId="0" applyFont="1" applyFill="1" applyBorder="1" applyAlignment="1">
      <alignment vertical="center"/>
    </xf>
    <xf numFmtId="0" fontId="43" fillId="4" borderId="23" xfId="0" applyFont="1" applyFill="1" applyBorder="1" applyAlignment="1">
      <alignment vertical="center"/>
    </xf>
    <xf numFmtId="0" fontId="45" fillId="12" borderId="23" xfId="0" applyFont="1" applyFill="1" applyBorder="1" applyAlignment="1">
      <alignment vertical="center"/>
    </xf>
    <xf numFmtId="0" fontId="45" fillId="4" borderId="23" xfId="0" applyFont="1" applyFill="1" applyBorder="1" applyAlignment="1">
      <alignment vertical="center"/>
    </xf>
    <xf numFmtId="0" fontId="45" fillId="4" borderId="18" xfId="0" applyFont="1" applyFill="1" applyBorder="1" applyAlignment="1">
      <alignment vertical="center"/>
    </xf>
    <xf numFmtId="0" fontId="45" fillId="4" borderId="29" xfId="0" applyFont="1" applyFill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164" fontId="7" fillId="4" borderId="3" xfId="0" applyNumberFormat="1" applyFont="1" applyFill="1" applyBorder="1" applyAlignment="1">
      <alignment horizontal="center" vertical="center"/>
    </xf>
    <xf numFmtId="164" fontId="24" fillId="16" borderId="18" xfId="0" applyNumberFormat="1" applyFont="1" applyFill="1" applyBorder="1" applyAlignment="1">
      <alignment horizontal="center"/>
    </xf>
    <xf numFmtId="0" fontId="38" fillId="4" borderId="0" xfId="0" applyFont="1" applyFill="1"/>
    <xf numFmtId="0" fontId="40" fillId="4" borderId="0" xfId="0" applyFont="1" applyFill="1" applyAlignment="1">
      <alignment vertical="center"/>
    </xf>
    <xf numFmtId="0" fontId="40" fillId="11" borderId="0" xfId="0" applyFont="1" applyFill="1" applyAlignment="1">
      <alignment vertical="center"/>
    </xf>
    <xf numFmtId="0" fontId="40" fillId="9" borderId="0" xfId="0" applyFont="1" applyFill="1" applyAlignment="1">
      <alignment vertical="center"/>
    </xf>
    <xf numFmtId="0" fontId="43" fillId="9" borderId="0" xfId="0" applyFont="1" applyFill="1" applyAlignment="1">
      <alignment vertical="center"/>
    </xf>
    <xf numFmtId="0" fontId="43" fillId="4" borderId="0" xfId="0" applyFont="1" applyFill="1" applyAlignment="1">
      <alignment vertical="center"/>
    </xf>
    <xf numFmtId="0" fontId="45" fillId="12" borderId="0" xfId="0" applyFont="1" applyFill="1" applyAlignment="1">
      <alignment vertical="center"/>
    </xf>
    <xf numFmtId="0" fontId="45" fillId="4" borderId="0" xfId="0" applyFont="1" applyFill="1" applyAlignment="1">
      <alignment vertical="center"/>
    </xf>
    <xf numFmtId="0" fontId="46" fillId="4" borderId="20" xfId="0" applyFont="1" applyFill="1" applyBorder="1" applyAlignment="1">
      <alignment vertical="center"/>
    </xf>
    <xf numFmtId="0" fontId="46" fillId="4" borderId="0" xfId="0" applyFont="1" applyFill="1" applyAlignment="1">
      <alignment vertical="center"/>
    </xf>
    <xf numFmtId="0" fontId="46" fillId="4" borderId="18" xfId="0" applyFont="1" applyFill="1" applyBorder="1" applyAlignment="1">
      <alignment vertical="center"/>
    </xf>
    <xf numFmtId="164" fontId="7" fillId="12" borderId="25" xfId="0" applyNumberFormat="1" applyFont="1" applyFill="1" applyBorder="1" applyAlignment="1">
      <alignment horizontal="center" vertical="center"/>
    </xf>
    <xf numFmtId="165" fontId="7" fillId="12" borderId="25" xfId="0" applyNumberFormat="1" applyFont="1" applyFill="1" applyBorder="1" applyAlignment="1">
      <alignment horizontal="center" vertical="center"/>
    </xf>
    <xf numFmtId="20" fontId="7" fillId="12" borderId="25" xfId="0" applyNumberFormat="1" applyFont="1" applyFill="1" applyBorder="1" applyAlignment="1">
      <alignment horizontal="center" vertical="center"/>
    </xf>
    <xf numFmtId="0" fontId="8" fillId="12" borderId="25" xfId="0" applyFont="1" applyFill="1" applyBorder="1" applyAlignment="1">
      <alignment horizontal="center" vertical="center"/>
    </xf>
    <xf numFmtId="14" fontId="23" fillId="11" borderId="28" xfId="0" applyNumberFormat="1" applyFont="1" applyFill="1" applyBorder="1" applyAlignment="1">
      <alignment horizontal="center" vertical="center" wrapText="1"/>
    </xf>
    <xf numFmtId="0" fontId="47" fillId="16" borderId="19" xfId="0" applyFont="1" applyFill="1" applyBorder="1" applyAlignment="1">
      <alignment horizontal="center" vertical="center"/>
    </xf>
    <xf numFmtId="0" fontId="48" fillId="4" borderId="0" xfId="0" applyFont="1" applyFill="1" applyAlignment="1">
      <alignment horizontal="center" vertical="center"/>
    </xf>
    <xf numFmtId="165" fontId="1" fillId="12" borderId="0" xfId="0" applyNumberFormat="1" applyFont="1" applyFill="1" applyAlignment="1">
      <alignment horizontal="center"/>
    </xf>
    <xf numFmtId="20" fontId="8" fillId="4" borderId="2" xfId="0" applyNumberFormat="1" applyFont="1" applyFill="1" applyBorder="1" applyAlignment="1">
      <alignment horizontal="center" vertical="center"/>
    </xf>
    <xf numFmtId="164" fontId="8" fillId="12" borderId="0" xfId="0" applyNumberFormat="1" applyFont="1" applyFill="1" applyAlignment="1">
      <alignment horizontal="center"/>
    </xf>
    <xf numFmtId="164" fontId="1" fillId="0" borderId="0" xfId="0" applyNumberFormat="1" applyFont="1"/>
    <xf numFmtId="166" fontId="7" fillId="6" borderId="14" xfId="0" applyNumberFormat="1" applyFont="1" applyFill="1" applyBorder="1" applyAlignment="1">
      <alignment horizontal="center" vertical="center"/>
    </xf>
    <xf numFmtId="166" fontId="8" fillId="14" borderId="15" xfId="0" applyNumberFormat="1" applyFont="1" applyFill="1" applyBorder="1" applyAlignment="1">
      <alignment horizontal="center" vertical="center"/>
    </xf>
    <xf numFmtId="166" fontId="10" fillId="5" borderId="33" xfId="0" applyNumberFormat="1" applyFont="1" applyFill="1" applyBorder="1" applyAlignment="1">
      <alignment horizontal="center" vertical="center"/>
    </xf>
    <xf numFmtId="20" fontId="1" fillId="0" borderId="0" xfId="0" applyNumberFormat="1" applyFont="1"/>
    <xf numFmtId="20" fontId="7" fillId="12" borderId="2" xfId="0" applyNumberFormat="1" applyFont="1" applyFill="1" applyBorder="1" applyAlignment="1" applyProtection="1">
      <alignment horizontal="center" vertical="center"/>
    </xf>
    <xf numFmtId="164" fontId="34" fillId="12" borderId="2" xfId="0" applyNumberFormat="1" applyFont="1" applyFill="1" applyBorder="1" applyAlignment="1">
      <alignment horizontal="center" vertical="center"/>
    </xf>
    <xf numFmtId="0" fontId="16" fillId="13" borderId="23" xfId="0" applyFont="1" applyFill="1" applyBorder="1" applyAlignment="1">
      <alignment horizontal="right"/>
    </xf>
    <xf numFmtId="164" fontId="8" fillId="1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14" xfId="0" applyFont="1" applyFill="1" applyBorder="1"/>
    <xf numFmtId="0" fontId="8" fillId="3" borderId="15" xfId="0" applyNumberFormat="1" applyFont="1" applyFill="1" applyBorder="1" applyAlignment="1">
      <alignment horizontal="center" vertical="center"/>
    </xf>
    <xf numFmtId="0" fontId="38" fillId="12" borderId="20" xfId="0" applyFont="1" applyFill="1" applyBorder="1" applyAlignment="1">
      <alignment vertical="center"/>
    </xf>
    <xf numFmtId="0" fontId="38" fillId="12" borderId="0" xfId="0" applyFont="1" applyFill="1" applyAlignment="1">
      <alignment vertical="center"/>
    </xf>
    <xf numFmtId="0" fontId="38" fillId="12" borderId="23" xfId="0" applyFont="1" applyFill="1" applyBorder="1" applyAlignment="1">
      <alignment vertical="center"/>
    </xf>
    <xf numFmtId="0" fontId="49" fillId="12" borderId="20" xfId="0" applyFont="1" applyFill="1" applyBorder="1" applyAlignment="1">
      <alignment vertical="center"/>
    </xf>
    <xf numFmtId="0" fontId="49" fillId="12" borderId="0" xfId="0" applyFont="1" applyFill="1" applyAlignment="1">
      <alignment vertical="center"/>
    </xf>
    <xf numFmtId="0" fontId="37" fillId="4" borderId="19" xfId="0" applyFont="1" applyFill="1" applyBorder="1" applyAlignment="1">
      <alignment vertical="center"/>
    </xf>
    <xf numFmtId="0" fontId="17" fillId="4" borderId="1" xfId="0" applyFont="1" applyFill="1" applyBorder="1" applyAlignment="1">
      <alignment horizontal="center" vertical="center"/>
    </xf>
    <xf numFmtId="21" fontId="17" fillId="4" borderId="2" xfId="0" applyNumberFormat="1" applyFont="1" applyFill="1" applyBorder="1" applyAlignment="1">
      <alignment horizontal="center" vertical="center"/>
    </xf>
    <xf numFmtId="164" fontId="8" fillId="10" borderId="3" xfId="0" applyNumberFormat="1" applyFont="1" applyFill="1" applyBorder="1" applyAlignment="1">
      <alignment horizontal="center" vertical="center"/>
    </xf>
  </cellXfs>
  <cellStyles count="32">
    <cellStyle name="Lien hypertexte" xfId="13" builtinId="8" hidden="1"/>
    <cellStyle name="Lien hypertexte" xfId="21" builtinId="8" hidden="1"/>
    <cellStyle name="Lien hypertexte" xfId="29" builtinId="8" hidden="1"/>
    <cellStyle name="Lien hypertexte" xfId="27" builtinId="8" hidden="1"/>
    <cellStyle name="Lien hypertexte" xfId="25" builtinId="8" hidden="1"/>
    <cellStyle name="Lien hypertexte" xfId="15" builtinId="8" hidden="1"/>
    <cellStyle name="Lien hypertexte" xfId="1" builtinId="8" hidden="1"/>
    <cellStyle name="Lien hypertexte" xfId="11" builtinId="8" hidden="1"/>
    <cellStyle name="Lien hypertexte" xfId="17" builtinId="8" hidden="1"/>
    <cellStyle name="Lien hypertexte" xfId="19" builtinId="8" hidden="1"/>
    <cellStyle name="Lien hypertexte" xfId="23" builtinId="8" hidden="1"/>
    <cellStyle name="Lien hypertexte" xfId="7" builtinId="8" hidden="1"/>
    <cellStyle name="Lien hypertexte" xfId="5" builtinId="8" hidden="1"/>
    <cellStyle name="Lien hypertexte" xfId="9" builtinId="8" hidden="1"/>
    <cellStyle name="Lien hypertexte" xfId="3" builtinId="8" hidden="1"/>
    <cellStyle name="Lien hypertexte visité" xfId="2" builtinId="9" hidden="1"/>
    <cellStyle name="Lien hypertexte visité" xfId="18" builtinId="9" hidden="1"/>
    <cellStyle name="Lien hypertexte visité" xfId="6" builtinId="9" hidden="1"/>
    <cellStyle name="Lien hypertexte visité" xfId="8" builtinId="9" hidden="1"/>
    <cellStyle name="Lien hypertexte visité" xfId="28" builtinId="9" hidden="1"/>
    <cellStyle name="Lien hypertexte visité" xfId="14" builtinId="9" hidden="1"/>
    <cellStyle name="Lien hypertexte visité" xfId="16" builtinId="9" hidden="1"/>
    <cellStyle name="Lien hypertexte visité" xfId="30" builtinId="9" hidden="1"/>
    <cellStyle name="Lien hypertexte visité" xfId="12" builtinId="9" hidden="1"/>
    <cellStyle name="Lien hypertexte visité" xfId="4" builtinId="9" hidden="1"/>
    <cellStyle name="Lien hypertexte visité" xfId="10" builtinId="9" hidden="1"/>
    <cellStyle name="Lien hypertexte visité" xfId="24" builtinId="9" hidden="1"/>
    <cellStyle name="Lien hypertexte visité" xfId="20" builtinId="9" hidden="1"/>
    <cellStyle name="Lien hypertexte visité" xfId="26" builtinId="9" hidden="1"/>
    <cellStyle name="Lien hypertexte visité" xfId="22" builtinId="9" hidden="1"/>
    <cellStyle name="Milliers" xfId="3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EDF8"/>
      <color rgb="FFD7E5F5"/>
      <color rgb="FFD1EBFB"/>
      <color rgb="FFECF2F8"/>
      <color rgb="FFCED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70700-F872-BB4F-B391-24C4AAA38342}">
  <sheetPr codeName="Feuil1">
    <tabColor theme="9" tint="0.59999389629810485"/>
    <pageSetUpPr fitToPage="1"/>
  </sheetPr>
  <dimension ref="A1:L33"/>
  <sheetViews>
    <sheetView tabSelected="1" zoomScale="75" zoomScaleNormal="75" workbookViewId="0">
      <selection activeCell="Q26" sqref="Q26"/>
    </sheetView>
  </sheetViews>
  <sheetFormatPr baseColWidth="10" defaultRowHeight="12"/>
  <cols>
    <col min="11" max="11" width="20.6640625" customWidth="1"/>
    <col min="12" max="12" width="9.5" hidden="1" customWidth="1"/>
  </cols>
  <sheetData>
    <row r="1" spans="1:12" ht="18" customHeight="1">
      <c r="A1" s="135" t="s">
        <v>69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  <c r="L1" s="48"/>
    </row>
    <row r="2" spans="1:12" ht="12" customHeight="1">
      <c r="A2" s="138"/>
      <c r="B2" s="161"/>
      <c r="C2" s="161"/>
      <c r="D2" s="161"/>
      <c r="E2" s="161"/>
      <c r="F2" s="161"/>
      <c r="G2" s="161"/>
      <c r="H2" s="161"/>
      <c r="I2" s="161"/>
      <c r="J2" s="161"/>
      <c r="K2" s="139"/>
      <c r="L2" s="49"/>
    </row>
    <row r="3" spans="1:12" ht="26" customHeight="1">
      <c r="A3" s="140" t="s">
        <v>35</v>
      </c>
      <c r="B3" s="162"/>
      <c r="C3" s="162"/>
      <c r="D3" s="162"/>
      <c r="E3" s="162"/>
      <c r="F3" s="162"/>
      <c r="G3" s="162"/>
      <c r="H3" s="162"/>
      <c r="I3" s="162"/>
      <c r="J3" s="162"/>
      <c r="K3" s="141"/>
      <c r="L3" s="49"/>
    </row>
    <row r="4" spans="1:12" ht="24" customHeight="1">
      <c r="A4" s="142" t="s">
        <v>57</v>
      </c>
      <c r="B4" s="162"/>
      <c r="C4" s="162"/>
      <c r="D4" s="162"/>
      <c r="E4" s="162"/>
      <c r="F4" s="162"/>
      <c r="G4" s="162"/>
      <c r="H4" s="162"/>
      <c r="I4" s="162"/>
      <c r="J4" s="162"/>
      <c r="K4" s="141"/>
      <c r="L4" s="49"/>
    </row>
    <row r="5" spans="1:12" ht="24" customHeight="1">
      <c r="A5" s="142"/>
      <c r="B5" s="162"/>
      <c r="C5" s="162"/>
      <c r="D5" s="162"/>
      <c r="E5" s="162"/>
      <c r="F5" s="162"/>
      <c r="G5" s="162"/>
      <c r="H5" s="162"/>
      <c r="I5" s="162"/>
      <c r="J5" s="162"/>
      <c r="K5" s="141"/>
      <c r="L5" s="49"/>
    </row>
    <row r="6" spans="1:12" ht="28" customHeight="1">
      <c r="A6" s="143" t="s">
        <v>26</v>
      </c>
      <c r="B6" s="163"/>
      <c r="C6" s="163"/>
      <c r="D6" s="163"/>
      <c r="E6" s="163"/>
      <c r="F6" s="163"/>
      <c r="G6" s="163"/>
      <c r="H6" s="163"/>
      <c r="I6" s="163"/>
      <c r="J6" s="163"/>
      <c r="K6" s="144"/>
      <c r="L6" s="59"/>
    </row>
    <row r="7" spans="1:12" ht="22.75" customHeight="1">
      <c r="A7" s="143" t="s">
        <v>54</v>
      </c>
      <c r="B7" s="163"/>
      <c r="C7" s="163"/>
      <c r="D7" s="163"/>
      <c r="E7" s="163"/>
      <c r="F7" s="163"/>
      <c r="G7" s="163"/>
      <c r="H7" s="163"/>
      <c r="I7" s="163"/>
      <c r="J7" s="163"/>
      <c r="K7" s="144"/>
      <c r="L7" s="59"/>
    </row>
    <row r="8" spans="1:12" ht="23" customHeight="1">
      <c r="A8" s="143" t="s">
        <v>56</v>
      </c>
      <c r="B8" s="163"/>
      <c r="C8" s="163"/>
      <c r="D8" s="163"/>
      <c r="E8" s="163"/>
      <c r="F8" s="163"/>
      <c r="G8" s="163"/>
      <c r="H8" s="163"/>
      <c r="I8" s="163"/>
      <c r="J8" s="163"/>
      <c r="K8" s="144"/>
      <c r="L8" s="59"/>
    </row>
    <row r="9" spans="1:12" ht="23" customHeight="1">
      <c r="A9" s="143"/>
      <c r="B9" s="163"/>
      <c r="C9" s="163"/>
      <c r="D9" s="163"/>
      <c r="E9" s="163"/>
      <c r="F9" s="163"/>
      <c r="G9" s="163"/>
      <c r="H9" s="163"/>
      <c r="I9" s="163"/>
      <c r="J9" s="163"/>
      <c r="K9" s="144"/>
      <c r="L9" s="59"/>
    </row>
    <row r="10" spans="1:12" ht="23" customHeight="1">
      <c r="A10" s="143" t="s">
        <v>55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44"/>
      <c r="L10" s="59"/>
    </row>
    <row r="11" spans="1:12" s="101" customFormat="1" ht="23" customHeight="1">
      <c r="A11" s="145"/>
      <c r="B11" s="162"/>
      <c r="C11" s="162"/>
      <c r="D11" s="162"/>
      <c r="E11" s="162"/>
      <c r="F11" s="162"/>
      <c r="G11" s="162"/>
      <c r="H11" s="162"/>
      <c r="I11" s="162"/>
      <c r="J11" s="162"/>
      <c r="K11" s="146"/>
      <c r="L11" s="100"/>
    </row>
    <row r="12" spans="1:12" ht="27" customHeight="1">
      <c r="A12" s="194" t="s">
        <v>33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6"/>
      <c r="L12" s="60"/>
    </row>
    <row r="13" spans="1:12" ht="24" customHeight="1">
      <c r="A13" s="197" t="s">
        <v>34</v>
      </c>
      <c r="B13" s="198"/>
      <c r="C13" s="198"/>
      <c r="D13" s="198"/>
      <c r="E13" s="198"/>
      <c r="F13" s="198"/>
      <c r="G13" s="198"/>
      <c r="H13" s="198"/>
      <c r="I13" s="195"/>
      <c r="J13" s="195"/>
      <c r="K13" s="196"/>
      <c r="L13" s="60"/>
    </row>
    <row r="14" spans="1:12" ht="24" customHeight="1">
      <c r="A14" s="197" t="s">
        <v>58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6"/>
      <c r="L14" s="60"/>
    </row>
    <row r="15" spans="1:12" ht="24" customHeight="1">
      <c r="A15" s="194" t="s">
        <v>59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6"/>
      <c r="L15" s="60"/>
    </row>
    <row r="16" spans="1:12" ht="24" customHeight="1">
      <c r="A16" s="194" t="s">
        <v>60</v>
      </c>
      <c r="B16" s="195"/>
      <c r="C16" s="195"/>
      <c r="D16" s="195"/>
      <c r="E16" s="195"/>
      <c r="F16" s="195"/>
      <c r="G16" s="195"/>
      <c r="H16" s="195"/>
      <c r="I16" s="195"/>
      <c r="J16" s="195"/>
      <c r="K16" s="196"/>
      <c r="L16" s="60"/>
    </row>
    <row r="17" spans="1:12" ht="25" customHeight="1">
      <c r="A17" s="194"/>
      <c r="B17" s="195"/>
      <c r="C17" s="195"/>
      <c r="D17" s="195"/>
      <c r="E17" s="195"/>
      <c r="F17" s="195"/>
      <c r="G17" s="195"/>
      <c r="H17" s="195"/>
      <c r="I17" s="195"/>
      <c r="J17" s="195"/>
      <c r="K17" s="196"/>
      <c r="L17" s="60"/>
    </row>
    <row r="18" spans="1:12" ht="24" customHeight="1">
      <c r="A18" s="194" t="s">
        <v>61</v>
      </c>
      <c r="B18" s="195"/>
      <c r="C18" s="195"/>
      <c r="D18" s="195"/>
      <c r="E18" s="195"/>
      <c r="F18" s="195"/>
      <c r="G18" s="195"/>
      <c r="H18" s="195"/>
      <c r="I18" s="195"/>
      <c r="J18" s="195"/>
      <c r="K18" s="196"/>
      <c r="L18" s="60"/>
    </row>
    <row r="19" spans="1:12" ht="24" customHeight="1">
      <c r="A19" s="194" t="s">
        <v>43</v>
      </c>
      <c r="B19" s="195"/>
      <c r="C19" s="195"/>
      <c r="D19" s="195"/>
      <c r="E19" s="195"/>
      <c r="F19" s="195"/>
      <c r="G19" s="195"/>
      <c r="H19" s="195"/>
      <c r="I19" s="195"/>
      <c r="J19" s="195"/>
      <c r="K19" s="196"/>
      <c r="L19" s="60"/>
    </row>
    <row r="20" spans="1:12" ht="24" customHeight="1">
      <c r="A20" s="194" t="s">
        <v>62</v>
      </c>
      <c r="B20" s="195"/>
      <c r="C20" s="195"/>
      <c r="D20" s="195"/>
      <c r="E20" s="195"/>
      <c r="F20" s="195"/>
      <c r="G20" s="195"/>
      <c r="H20" s="195"/>
      <c r="I20" s="195"/>
      <c r="J20" s="195"/>
      <c r="K20" s="196"/>
      <c r="L20" s="60"/>
    </row>
    <row r="21" spans="1:12" ht="24" customHeight="1">
      <c r="A21" s="194" t="s">
        <v>63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6"/>
      <c r="L21" s="60"/>
    </row>
    <row r="22" spans="1:12" s="101" customFormat="1" ht="24" customHeight="1">
      <c r="A22" s="145"/>
      <c r="B22" s="162"/>
      <c r="C22" s="162"/>
      <c r="D22" s="162"/>
      <c r="E22" s="162"/>
      <c r="F22" s="162"/>
      <c r="G22" s="162"/>
      <c r="H22" s="162"/>
      <c r="I22" s="162"/>
      <c r="J22" s="162"/>
      <c r="K22" s="146"/>
      <c r="L22" s="100"/>
    </row>
    <row r="23" spans="1:12" s="51" customFormat="1" ht="25" customHeight="1">
      <c r="A23" s="148" t="s">
        <v>32</v>
      </c>
      <c r="B23" s="164"/>
      <c r="C23" s="164"/>
      <c r="D23" s="164"/>
      <c r="E23" s="164"/>
      <c r="F23" s="164"/>
      <c r="G23" s="164"/>
      <c r="H23" s="164"/>
      <c r="I23" s="164"/>
      <c r="J23" s="164"/>
      <c r="K23" s="149"/>
      <c r="L23" s="50"/>
    </row>
    <row r="24" spans="1:12" s="51" customFormat="1" ht="25" customHeight="1">
      <c r="A24" s="150" t="s">
        <v>31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51"/>
      <c r="L24" s="58"/>
    </row>
    <row r="25" spans="1:12" s="51" customFormat="1" ht="23" customHeight="1">
      <c r="A25" s="150" t="s">
        <v>48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51"/>
    </row>
    <row r="26" spans="1:12" s="51" customFormat="1" ht="23" customHeight="1">
      <c r="A26" s="150" t="s">
        <v>51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51"/>
    </row>
    <row r="27" spans="1:12" s="51" customFormat="1" ht="23" customHeight="1">
      <c r="A27" s="150" t="s">
        <v>52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51"/>
    </row>
    <row r="28" spans="1:12" s="103" customFormat="1" ht="25" customHeight="1">
      <c r="A28" s="152"/>
      <c r="B28" s="166"/>
      <c r="C28" s="166"/>
      <c r="D28" s="166"/>
      <c r="E28" s="166"/>
      <c r="F28" s="166"/>
      <c r="G28" s="166"/>
      <c r="H28" s="166"/>
      <c r="I28" s="166"/>
      <c r="J28" s="166"/>
      <c r="K28" s="153"/>
      <c r="L28" s="102"/>
    </row>
    <row r="29" spans="1:12" ht="25" customHeight="1">
      <c r="A29" s="147" t="s">
        <v>36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54"/>
      <c r="L29" s="52"/>
    </row>
    <row r="30" spans="1:12" ht="25" customHeight="1">
      <c r="A30" s="147" t="s">
        <v>37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54"/>
      <c r="L30" s="52"/>
    </row>
    <row r="31" spans="1:12" s="101" customFormat="1" ht="25" customHeight="1">
      <c r="A31" s="145"/>
      <c r="B31" s="168"/>
      <c r="C31" s="168"/>
      <c r="D31" s="168"/>
      <c r="E31" s="168"/>
      <c r="F31" s="168"/>
      <c r="G31" s="168"/>
      <c r="H31" s="168"/>
      <c r="I31" s="168"/>
      <c r="J31" s="168"/>
      <c r="K31" s="155"/>
      <c r="L31" s="102"/>
    </row>
    <row r="32" spans="1:12" s="55" customFormat="1" ht="18.5" customHeight="1">
      <c r="A32" s="169" t="s">
        <v>38</v>
      </c>
      <c r="B32" s="170"/>
      <c r="C32" s="170"/>
      <c r="D32" s="170"/>
      <c r="E32" s="170"/>
      <c r="F32" s="168"/>
      <c r="G32" s="168"/>
      <c r="H32" s="168"/>
      <c r="I32" s="168"/>
      <c r="J32" s="168"/>
      <c r="K32" s="155"/>
      <c r="L32" s="56"/>
    </row>
    <row r="33" spans="1:11" ht="20.5" customHeight="1">
      <c r="A33" s="199" t="s">
        <v>70</v>
      </c>
      <c r="B33" s="171"/>
      <c r="C33" s="171"/>
      <c r="D33" s="171"/>
      <c r="E33" s="171"/>
      <c r="F33" s="156"/>
      <c r="G33" s="156"/>
      <c r="H33" s="156"/>
      <c r="I33" s="156"/>
      <c r="J33" s="156"/>
      <c r="K33" s="157"/>
    </row>
  </sheetData>
  <sheetProtection sheet="1" selectLockedCells="1"/>
  <customSheetViews>
    <customSheetView guid="{028A8FD2-38CC-184D-ABB8-598EF608EE4F}">
      <selection activeCell="N24" sqref="N24"/>
      <pageMargins left="0.25" right="0.25" top="0.75" bottom="0.75" header="0.3" footer="0.3"/>
      <pageSetup paperSize="9" orientation="landscape" horizontalDpi="0" verticalDpi="0"/>
    </customSheetView>
  </customSheetViews>
  <pageMargins left="0" right="0" top="0.15748031496062992" bottom="0.15748031496062992" header="0.11811023622047244" footer="0.1181102362204724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5D31E-6771-C149-A1A1-C0A194D7D1AC}">
  <sheetPr codeName="Feuil2">
    <tabColor rgb="FF00B0F0"/>
    <pageSetUpPr fitToPage="1"/>
  </sheetPr>
  <dimension ref="A1:J42"/>
  <sheetViews>
    <sheetView zoomScale="75" zoomScaleNormal="75" workbookViewId="0">
      <selection activeCell="D5" sqref="D5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10" ht="30" customHeight="1">
      <c r="A1" s="42" t="s">
        <v>0</v>
      </c>
      <c r="B1" s="53" t="s">
        <v>39</v>
      </c>
      <c r="C1" s="108"/>
      <c r="D1" s="64" t="s">
        <v>40</v>
      </c>
      <c r="E1" s="43" t="s">
        <v>1</v>
      </c>
      <c r="F1" s="53" t="s">
        <v>2</v>
      </c>
      <c r="G1" s="106"/>
      <c r="H1" s="37"/>
    </row>
    <row r="2" spans="1:10" ht="20" customHeight="1">
      <c r="A2" s="44" t="s">
        <v>27</v>
      </c>
      <c r="B2" s="54" t="s">
        <v>41</v>
      </c>
      <c r="C2" s="61" t="s">
        <v>44</v>
      </c>
      <c r="D2" s="63">
        <f>DATE(2024,1,1)</f>
        <v>43830</v>
      </c>
      <c r="E2" s="61" t="s">
        <v>3</v>
      </c>
      <c r="F2" s="54" t="s">
        <v>42</v>
      </c>
      <c r="G2" s="105"/>
      <c r="H2" s="62"/>
    </row>
    <row r="3" spans="1:10" ht="20" customHeight="1" thickBot="1">
      <c r="A3" s="44"/>
      <c r="B3" s="105"/>
      <c r="C3" s="61" t="s">
        <v>45</v>
      </c>
      <c r="D3" s="176">
        <f>D2+DAY(5)</f>
        <v>43836</v>
      </c>
      <c r="E3" s="45"/>
      <c r="F3" s="104"/>
      <c r="G3" s="104"/>
      <c r="H3" s="38"/>
    </row>
    <row r="4" spans="1:10" s="3" customFormat="1" ht="46.5" customHeight="1">
      <c r="A4" s="25" t="s">
        <v>4</v>
      </c>
      <c r="B4" s="26" t="s">
        <v>28</v>
      </c>
      <c r="C4" s="26" t="s">
        <v>50</v>
      </c>
      <c r="D4" s="28" t="s">
        <v>5</v>
      </c>
      <c r="E4" s="26" t="s">
        <v>6</v>
      </c>
      <c r="F4" s="27" t="s">
        <v>7</v>
      </c>
      <c r="G4" s="28" t="s">
        <v>46</v>
      </c>
      <c r="H4" s="29" t="s">
        <v>8</v>
      </c>
    </row>
    <row r="5" spans="1:10" ht="17.25" customHeight="1">
      <c r="A5" s="34" t="str">
        <f>CHOOSE(WEEKDAY(A6,2),"LUNDI","MARDI","MERCREDI","JEUDI","VENDREDI","SAMEDI","DIMANCHE")</f>
        <v>LUNDI</v>
      </c>
      <c r="B5" s="47" t="str">
        <f>IF(OR(C5&lt;&gt;0, C6 &lt;&gt;0,), IF(MOD(C6-C5, 1) &lt; 0.041, "(pause réduite)", ""), "")</f>
        <v/>
      </c>
      <c r="C5" s="107">
        <v>0</v>
      </c>
      <c r="D5" s="66">
        <v>0</v>
      </c>
      <c r="E5" s="47">
        <f>IF(D5= " ",0/24,((MOD(D6-D5,1))-MOD(C6-C5,1)))</f>
        <v>0</v>
      </c>
      <c r="F5" s="47">
        <f>IF(AND(D5&gt;=D6,D5&lt;=A7,D5&lt;&gt;0,D6&lt;&gt;" "),MOD(A28-A7,1)-IF(D6&lt;=A28,A28-D6)+IF(D5&lt;=A28,A28-D5),IF(AND(D5&gt;=D6,D5&gt;A7,D5&lt;&gt;0,D6&lt;&gt;0),MOD(A28-A7,1)-(D5-A7)+IF(D6&gt;=A7,D6-A7)-IF(D6&lt;A28,A28-D6),IF(AND(D5&lt;D6,ISNUMBER(D5),D6&lt;&gt;0),0+IF(AND(D5&lt;=A28,D6&lt;=A28),D6-D5)+IF(AND(D5&lt;=A28,D6&gt;A28),A28-D5)+IF(D6&gt;=A7,D6-D5-IF(D5&lt;=A7,A7-D5)),0)))</f>
        <v>0</v>
      </c>
      <c r="G5" s="47">
        <v>0</v>
      </c>
      <c r="H5" s="57">
        <v>0</v>
      </c>
    </row>
    <row r="6" spans="1:10" ht="17.25" customHeight="1">
      <c r="A6" s="65">
        <f>D2</f>
        <v>43830</v>
      </c>
      <c r="B6" s="71" t="str">
        <f>IF(E6="", "","(journée continue)")</f>
        <v/>
      </c>
      <c r="C6" s="187">
        <f>IF(OR(AND(D5=0/24, D6=0/24,), AND(C5=0/24, D6=0/24), (MOD(D6-C5,24) =D6)), 0/24, C5+1/24)</f>
        <v>0</v>
      </c>
      <c r="D6" s="66">
        <v>0</v>
      </c>
      <c r="E6" s="188" t="str">
        <f>IF(SUM(D7,E7)=0/24,"",SUM(D7,E7))</f>
        <v/>
      </c>
      <c r="F6" s="47" t="str">
        <f>IF(OR(C5 &lt;&gt; 0, C6 &lt;&gt; 0), IF(C5&gt;=A7,-(MOD(C6-C5,1)),IF(C6&lt;=A28,-(MOD(C6-C5,1)),IF(C5&lt;A28, IF(C6&gt;=A28, -MOD(A28-C5,1), -(MOD(C6-A28,1))),IF(C6&gt;A7,-(MOD(C6-A7,1)), " ")))), " ")</f>
        <v xml:space="preserve"> </v>
      </c>
      <c r="G6" s="179"/>
      <c r="H6" s="172"/>
    </row>
    <row r="7" spans="1:10" ht="17.25" customHeight="1">
      <c r="A7" s="70">
        <f>IF(A6="", Deb, IF(A6&gt;DATE(YEAR(A6),3,20),IF(A6&lt;DATE(YEAR(A6),12,21),22 / 24,20 / 24),20 /24))</f>
        <v>0.83333333333333337</v>
      </c>
      <c r="B7" s="69" t="str">
        <f>IF(A6 &lt;&gt; "", IF(A5="DIMANCHE", "(majoration dimanche)", ""), "")</f>
        <v/>
      </c>
      <c r="C7" s="73">
        <f>IF(C6 = C5, (MOD(D6-D5,1)),0)</f>
        <v>0</v>
      </c>
      <c r="D7" s="67">
        <f>IF(C5=0 / 24,0,IF((MOD(C5-D5,1))&lt;6 / 24,0,B33))</f>
        <v>0</v>
      </c>
      <c r="E7" s="40">
        <f>IF(C7&gt;=(6 / 24),B33,(IF(C5 = C6, IF(MOD(D6-D5, 1) &lt;6/24, 0, B33), IF((MOD(D6-C6,1))&lt;6/24,0,B33))))</f>
        <v>0</v>
      </c>
      <c r="F7" s="16" t="str">
        <f>IF(OR(F6=" ", F6=0)," ","(minoration repas nuit)")</f>
        <v xml:space="preserve"> </v>
      </c>
      <c r="G7" s="180"/>
      <c r="H7" s="39">
        <f>IF((E5)&lt;12/24,0/24,(E5)-12/24)</f>
        <v>0</v>
      </c>
    </row>
    <row r="8" spans="1:10" ht="17.25" customHeight="1">
      <c r="A8" s="34" t="str">
        <f>CHOOSE(WEEKDAY(A6+1,2),"LUNDI","MARDI","MERCREDI","JEUDI","VENDREDI","SAMEDI","DIMANCHE")</f>
        <v>MARDI</v>
      </c>
      <c r="B8" s="86" t="str">
        <f>IF(OR(C8&lt;&gt;0, C9 &lt;&gt;0,), IF(MOD(C9-C8, 1) &lt; 0.041, "(pause réduite)", ""), "")</f>
        <v/>
      </c>
      <c r="C8" s="107">
        <v>0</v>
      </c>
      <c r="D8" s="66">
        <v>0</v>
      </c>
      <c r="E8" s="47">
        <f>IF(D8= " ",0/24,((MOD(D9-D8,1))-MOD(C9-C8,1)))</f>
        <v>0</v>
      </c>
      <c r="F8" s="47">
        <f>IF(AND(D8&gt;=D9,D8&lt;=A10,D8&lt;&gt;0,D9&lt;&gt;" "),MOD(A29-A10,1)-IF(D9&lt;=A29,A29-D9)+IF(D8&lt;=A29,A29-D8),IF(AND(D8&gt;=D9,D8&gt;A10,D8&lt;&gt;0,D9&lt;&gt;0),MOD(A29-A10,1)-(D8-A10)+IF(D9&gt;=A10,D9-A10)-IF(D9&lt;A29,A29-D9),IF(AND(D8&lt;D9,ISNUMBER(D8),D9&lt;&gt;0),0+IF(AND(D8&lt;=A29,D9&lt;=A29),D9-D8)+IF(AND(D8&lt;=A29,D9&gt;A29),A29-D8)+IF(D9&gt;=A10,D9-D8-IF(D8&lt;=A10,A10-D8)),0)))</f>
        <v>0</v>
      </c>
      <c r="G8" s="47">
        <f>IF(AND(D5=0, D6=0), 0/24, (IF(D8=0/24,0/24,IF((MOD(D8-D6,1))&gt;=11/24,0/24,11/24-(MOD(D8-D6,1))))))</f>
        <v>0</v>
      </c>
      <c r="H8" s="57">
        <v>0</v>
      </c>
      <c r="I8" s="182"/>
      <c r="J8" s="186"/>
    </row>
    <row r="9" spans="1:10" ht="17.25" customHeight="1">
      <c r="A9" s="65">
        <f>IF(AND(DATE(YEAR(D2),MONTH(D2),DAY(D2))&lt;DATE(YEAR(D3),MONTH(D3),DAY(D3)), A6&lt;&gt;""),DATE(YEAR(D2),MONTH(D2),DAY(D2)+1),"")</f>
        <v>43831</v>
      </c>
      <c r="B9" s="15" t="str">
        <f>IF(E9="", "","(journée continue)")</f>
        <v/>
      </c>
      <c r="C9" s="187">
        <f>IF(OR(AND(D8=0/24, D9=0/24,), AND(C8=0/24, D9=0/24), (MOD(D9-C8,24) =D9)), 0/24, C8+1/24)</f>
        <v>0</v>
      </c>
      <c r="D9" s="66">
        <v>0</v>
      </c>
      <c r="E9" s="188" t="str">
        <f>IF(SUM(D10,E10)=0/24,"",SUM(D10,E10))</f>
        <v/>
      </c>
      <c r="F9" s="47" t="str">
        <f>IF(OR(C8 &lt;&gt; 0, C9 &lt;&gt; 0), IF(C8&gt;=A10,-(MOD(C9-C8,1)),IF(C9&lt;=A29,-(MOD(C9-C8,1)),IF(C8&lt;A29, IF(C9&gt;=A29, -MOD(A29-C8,1), -(MOD(C9-A29,1))),IF(C9&gt;A10,-(MOD(C9-A10,1))," "))))," ")</f>
        <v xml:space="preserve"> </v>
      </c>
      <c r="G9" s="179"/>
      <c r="H9" s="173"/>
    </row>
    <row r="10" spans="1:10" ht="17.25" customHeight="1">
      <c r="A10" s="70">
        <f>IF(A9="", Deb, IF(A9&gt;DATE(YEAR(A9),3,20),IF(A9&lt;DATE(YEAR(A9),12,21),22 / 24,20 / 24),20 /24))</f>
        <v>0.83333333333333337</v>
      </c>
      <c r="B10" s="69" t="str">
        <f>IF(A9 &lt;&gt; "", IF(A8="DIMANCHE", "(majoration dimanche)", ""), "")</f>
        <v/>
      </c>
      <c r="C10" s="73">
        <f>IF(C9 = C8, (MOD(D9-D8,1)),0)</f>
        <v>0</v>
      </c>
      <c r="D10" s="67">
        <f>IF(C8=0 / 24,0,IF((MOD(C8-D8,1))&lt;6 / 24,0,B33))</f>
        <v>0</v>
      </c>
      <c r="E10" s="73">
        <f>IF(C10&gt;=(6 / 24),B33,(IF(C8 = C9, IF(MOD(D9-D8, 1) &lt;6 /24, 0, B33), IF((MOD(D9-C9,1))&lt;6/24,0,B33))))</f>
        <v>0</v>
      </c>
      <c r="F10" s="16" t="str">
        <f>IF(F9=" "," ","(minoration repas nuit)")</f>
        <v xml:space="preserve"> </v>
      </c>
      <c r="G10" s="180"/>
      <c r="H10" s="39">
        <f>IF((E8)&lt;12/24,0/24,(E8)-12/24)</f>
        <v>0</v>
      </c>
    </row>
    <row r="11" spans="1:10" ht="17.25" customHeight="1">
      <c r="A11" s="34" t="str">
        <f>CHOOSE(WEEKDAY(A6+2,2),"LUNDI","MARDI","MERCREDI","JEUDI","VENDREDI","SAMEDI","DIMANCHE")</f>
        <v>MERCREDI</v>
      </c>
      <c r="B11" s="86" t="str">
        <f>IF(OR(C11&lt;&gt;0, C12 &lt;&gt;0,), IF(MOD(C12-C11, 1) &lt; 0.041, "(pause réduite)", ""), "")</f>
        <v/>
      </c>
      <c r="C11" s="107">
        <v>0</v>
      </c>
      <c r="D11" s="66">
        <v>0</v>
      </c>
      <c r="E11" s="47">
        <f>IF(D11= " ",0/24,((MOD(D12-D11,1))-MOD(C12-C11,1)))</f>
        <v>0</v>
      </c>
      <c r="F11" s="47">
        <f>IF(AND(D11&gt;=D12,D11&lt;=A13,D11&lt;&gt;0,D12&lt;&gt;" "),MOD(A30-A13,1)-IF(D12&lt;=A30,A30-D12)+IF(D11&lt;=A30,A30-D11),IF(AND(D11&gt;=D12,D11&gt;A13,D11&lt;&gt;0,D12&lt;&gt;0),MOD(A30-A13,1)-(D11-A13)+IF(D12&gt;=A13,D12-A13)-IF(D12&lt;A30,A30-D12),IF(AND(D11&lt;D12,ISNUMBER(D11),D12&lt;&gt;0),0+IF(AND(D11&lt;=A30,D12&lt;=A30),D12-D11)+IF(AND(D11&lt;=A30,D12&gt;A30),A30-D11)+IF(D12&gt;=A13,D12-D11-IF(D11&lt;=A13,A13-D11)),0)))</f>
        <v>0</v>
      </c>
      <c r="G11" s="181">
        <f>IF(AND(D8=0, D9=0), 0/24, (IF(D11=0/24,0/24,IF((MOD(D11-D9,1))&gt;=11/24,0/24,11/24-(MOD(D11-D9,1))))))</f>
        <v>0</v>
      </c>
      <c r="H11" s="57">
        <v>0</v>
      </c>
    </row>
    <row r="12" spans="1:10" ht="17.25" customHeight="1">
      <c r="A12" s="65">
        <f>IF(AND(DATE(YEAR(A9),MONTH(A9),DAY(A9))&lt;DATE(YEAR(D3),MONTH(D3),DAY(D3)), A9&lt;&gt;""),DATE(YEAR(D2),MONTH(D2),DAY(D2)+2), "")</f>
        <v>43832</v>
      </c>
      <c r="B12" s="15" t="str">
        <f>IF(E12="", "","(journée continue)")</f>
        <v/>
      </c>
      <c r="C12" s="187">
        <f>IF(OR(AND(D11=0/24, D12=0/24,), AND(C11=0/24, D12=0/24), (MOD(D12-C11,24) =D12)), 0/24, C11+1/24)</f>
        <v>0</v>
      </c>
      <c r="D12" s="68">
        <v>0</v>
      </c>
      <c r="E12" s="188" t="str">
        <f>IF(SUM(D13,E13)=0/24,"",SUM(D13,E13))</f>
        <v/>
      </c>
      <c r="F12" s="47" t="str">
        <f>IF(OR(C11 &lt;&gt; 0, C12 &lt;&gt; 0), IF(C11&gt;=A13,-(MOD(C12-C11,1)),IF(C12&lt;=A30,-(MOD(C12-C11,1)),IF(C11&lt;A30, IF(C12&gt;=A30, -MOD(A30-C11,1), -(MOD(C12-A30,1))),IF(C12&gt;A13,-(MOD(C12-A13,1)), " ")))), " ")</f>
        <v xml:space="preserve"> </v>
      </c>
      <c r="G12" s="47"/>
      <c r="H12" s="174"/>
    </row>
    <row r="13" spans="1:10" ht="17.25" customHeight="1">
      <c r="A13" s="70">
        <f>IF(A12="", Deb, IF(A12&gt;DATE(YEAR(A12),3,20),IF(A12&lt;DATE(YEAR(A12),12,21),22 / 24,20 / 24),20 /24))</f>
        <v>0.83333333333333337</v>
      </c>
      <c r="B13" s="16" t="str">
        <f>IF(A12 &lt;&gt; "", IF(A11="DIMANCHE", "(majoration dimanche)", ""), "")</f>
        <v/>
      </c>
      <c r="C13" s="73">
        <f>IF(C12 = C11, (MOD(D12-D11,1)),0)</f>
        <v>0</v>
      </c>
      <c r="D13" s="67">
        <f>IF(C11=0 / 24,0,IF((MOD(C11-D11,1))&lt;6 / 24,0,B33))</f>
        <v>0</v>
      </c>
      <c r="E13" s="40">
        <f>IF(C13&gt;=(6 / 24),B33,(IF(C11 = C12, IF(MOD(D12-D11, 1) &lt;6/24, 0, B33), IF((MOD(D12-C12,1))&lt;6/24,0,B33))))</f>
        <v>0</v>
      </c>
      <c r="F13" s="16" t="str">
        <f>IF(F12=" "," ","(minoration repas nuit)")</f>
        <v xml:space="preserve"> </v>
      </c>
      <c r="G13" s="180"/>
      <c r="H13" s="39">
        <f>IF((E11)&lt;12/24,0/24,(E11)-12/24)</f>
        <v>0</v>
      </c>
    </row>
    <row r="14" spans="1:10" ht="17" customHeight="1">
      <c r="A14" s="34" t="str">
        <f>CHOOSE(WEEKDAY(A6+3,2),"LUNDI","MARDI","MERCREDI","JEUDI","VENDREDI","SAMEDI","DIMANCHE")</f>
        <v>JEUDI</v>
      </c>
      <c r="B14" s="86" t="str">
        <f>IF(OR(C14&lt;&gt;0, C15 &lt;&gt;0,), IF(MOD(C15-C14, 1) &lt; 0.041, "(pause réduite)", ""), "")</f>
        <v/>
      </c>
      <c r="C14" s="107">
        <v>0</v>
      </c>
      <c r="D14" s="66">
        <v>0</v>
      </c>
      <c r="E14" s="47">
        <f>IF(D14= " ",0/24,((MOD(D15-D14,1))-MOD(C15-C14,1)))</f>
        <v>0</v>
      </c>
      <c r="F14" s="47">
        <f>IF(AND(D14&gt;=D15,D14&lt;=A16,D14&lt;&gt;0,D15&lt;&gt;" "),MOD(A31-A16,1)-IF(D15&lt;=A31,A31-D15)+IF(D14&lt;=A31,A31-D14),IF(AND(D14&gt;=D15,D14&gt;A16,D14&lt;&gt;0,D15&lt;&gt;0),MOD(A31-A16,1)-(D14-A16)+IF(D15&gt;=A16,D15-A16)-IF(D15&lt;A31,A31-D15),IF(AND(D14&lt;D15,ISNUMBER(D14),D15&lt;&gt;0),0+IF(AND(D14&lt;=A31,D15&lt;=A31),D15-D14)+IF(AND(D14&lt;=A31,D15&gt;A31),A31-D14)+IF(D15&gt;=A16,D15-D14-IF(D14&lt;=A16,A16-D14)),0)))</f>
        <v>0</v>
      </c>
      <c r="G14" s="47">
        <f>IF(AND(D11=0, D12=0), 0/24, (IF(D14=0/24,0/24,IF((MOD(D14-D12,1))&gt;= 11/24, 0/24, (11/24- (MOD(D14-D12,1)))))))</f>
        <v>0</v>
      </c>
      <c r="H14" s="57">
        <v>0</v>
      </c>
    </row>
    <row r="15" spans="1:10" ht="17.25" customHeight="1">
      <c r="A15" s="65">
        <f>IF(A12&lt;&gt; "", (IF(DATE(YEAR(A12),MONTH(A12),DAY(A12))&lt;DATE(YEAR(D3),MONTH(D3),DAY(D3)),DATE(YEAR(D2),MONTH(D2),(DAY(D2)+3)), "")), "")</f>
        <v>43833</v>
      </c>
      <c r="B15" s="15" t="str">
        <f>IF(E15="", "","(journée continue)")</f>
        <v/>
      </c>
      <c r="C15" s="187">
        <f>IF(OR(AND(D14=0/24, D15=0/24,), AND(C14=0/24, D15=0/24), (MOD(D15-C14,24) =D15)), 0/24, C14+1/24)</f>
        <v>0</v>
      </c>
      <c r="D15" s="66">
        <v>0</v>
      </c>
      <c r="E15" s="188" t="str">
        <f>IF(SUM(D16,E16)=0/24,"",SUM(D16,E16))</f>
        <v/>
      </c>
      <c r="F15" s="47" t="str">
        <f>IF(OR(C14 &lt;&gt; 0, C15 &lt;&gt; 0), IF(C14&gt;=A16,-(MOD(C15-C14,1)),IF(C15&lt;=A31,-(MOD(C15-C14,1)),IF(C14&lt;A31, IF(C15&gt;=A31, -MOD(A31-C14,1), -(MOD(C15-A31,1))),IF(C15&gt;A16,-(MOD(C15-A16,1))," ")))), " ")</f>
        <v xml:space="preserve"> </v>
      </c>
      <c r="G15" s="179"/>
      <c r="H15" s="173"/>
    </row>
    <row r="16" spans="1:10" ht="17.25" customHeight="1">
      <c r="A16" s="70">
        <f>IF(A15="", Deb, IF(A15&gt;DATE(YEAR(A15),3,20),IF(A15&lt;DATE(YEAR(A15),12,21),22 / 24,20 / 24),20 /24))</f>
        <v>0.83333333333333337</v>
      </c>
      <c r="B16" s="16" t="str">
        <f>IF(A15 &lt;&gt; "", IF(A14="DIMANCHE", "(majoration dimanche)", ""), "")</f>
        <v/>
      </c>
      <c r="C16" s="73">
        <f>IF(C14 = C15, (MOD(D15-D14,1)),0)</f>
        <v>0</v>
      </c>
      <c r="D16" s="67">
        <f>IF(C14=0 / 24,0,IF((MOD(C14-D14,1))&lt;6 / 24,0,B33))</f>
        <v>0</v>
      </c>
      <c r="E16" s="40">
        <f>IF(C16&gt;=(6 / 24),B33,(IF(C15 = C14, IF(MOD(D15-D14, 1) &lt;6/24, 0, B33), IF((MOD(D15-C15,1))&lt;6/24,0,B33))))</f>
        <v>0</v>
      </c>
      <c r="F16" s="16" t="str">
        <f>IF(F15=" "," ","(minoration repas nuit)")</f>
        <v xml:space="preserve"> </v>
      </c>
      <c r="G16" s="180"/>
      <c r="H16" s="39">
        <f>IF((E14)&lt;12/24,0/24,(E14)-12/24)</f>
        <v>0</v>
      </c>
    </row>
    <row r="17" spans="1:8" ht="17.25" customHeight="1">
      <c r="A17" s="34" t="str">
        <f>CHOOSE(WEEKDAY(A6+4,2),"LUNDI","MARDI","MERCREDI","JEUDI","VENDREDI","SAMEDI","DIMANCHE")</f>
        <v>VENDREDI</v>
      </c>
      <c r="B17" s="86" t="str">
        <f>IF(OR(C17&lt;&gt;0, C18 &lt;&gt;0,), IF(MOD(C18-C17, 1) &lt; 0.041, "(pause réduite)", ""), "")</f>
        <v/>
      </c>
      <c r="C17" s="107">
        <v>0</v>
      </c>
      <c r="D17" s="66">
        <v>0</v>
      </c>
      <c r="E17" s="47">
        <f>IF(D17=" ",0/24,((MOD(D18-D17,1))-MOD(C18-C17,1)))</f>
        <v>0</v>
      </c>
      <c r="F17" s="47">
        <f>IF(AND(D17&gt;=D18,D17&lt;=A19,D17&lt;&gt;0,D18&lt;&gt;" "),MOD(A32-A19,1)-IF(D18&lt;=A32,A32-D18)+IF(D17&lt;=A32,A32-D17),IF(AND(D17&gt;=D18,D17&gt;A19,D17&lt;&gt;0,D18&lt;&gt;0),MOD(A32-A19,1)-(D17-A19)+IF(D18&gt;=A19,D18-A19)-IF(D18&lt;A32,A32-D18),IF(AND(D17&lt;D18,ISNUMBER(D17),D18&lt;&gt;0),0+IF(AND(D17&lt;=A32,D18&lt;=A32),D18-D17)+IF(AND(D17&lt;=A32,D18&gt;A32),A32-D17)+IF(D18&gt;=A19,D18-D17-IF(D17&lt;=A19,A19-D17)),0)))</f>
        <v>0</v>
      </c>
      <c r="G17" s="47">
        <f>IF(AND(D14=0, D15=0), 0/24,(IF(D17=0/24,0/24,IF((MOD(D17-D15,1))&gt;= 11/24,0/24,11/24-(MOD(D17-D15,1))))))</f>
        <v>0</v>
      </c>
      <c r="H17" s="57">
        <v>0</v>
      </c>
    </row>
    <row r="18" spans="1:8" ht="17.25" customHeight="1">
      <c r="A18" s="65">
        <f>IF(A15&lt;&gt; "", (IF(DATE(YEAR(A15),MONTH(A15),DAY(A15))&lt;DATE(YEAR(D3),MONTH(D3),DAY(D3)),DATE(YEAR(D2),MONTH(D2),(DAY(D2)+4)), "")), "")</f>
        <v>43834</v>
      </c>
      <c r="B18" s="15" t="str">
        <f>IF(E18="", "","(journée continue)")</f>
        <v/>
      </c>
      <c r="C18" s="187">
        <f>IF(OR(AND(D17=0/24, D18=0/24,), AND(C17=0/24, D18=0/24), (MOD(D18-C17,24) =D18)), 0/24, C17+1/24)</f>
        <v>0</v>
      </c>
      <c r="D18" s="68">
        <v>0</v>
      </c>
      <c r="E18" s="188" t="str">
        <f>IF(SUM(D19,E19)=0/24,"",SUM(D19,E19))</f>
        <v/>
      </c>
      <c r="F18" s="47" t="str">
        <f>IF(OR(C17 &lt;&gt; 0, C18 &lt;&gt; 0), IF(C17&gt;=A19,-(MOD(C18-C17,1)),IF(C18&lt;=A32,-(MOD(C18-C17,1)),IF(C17&lt;A32, IF(C18&gt;=A32, -MOD(A32-C17,1), -(MOD(C18-A32,1))),IF(C18&gt;A19,-(MOD(C18-A19,1))," ")))), " ")</f>
        <v xml:space="preserve"> </v>
      </c>
      <c r="G18" s="179"/>
      <c r="H18" s="173"/>
    </row>
    <row r="19" spans="1:8" ht="17.25" customHeight="1">
      <c r="A19" s="70">
        <f>IF(A18="", Deb, IF(A18&gt;DATE(YEAR(A18),3,20),IF(A18&lt;DATE(YEAR(A18),12,21),22 / 24,20 / 24),20 /24))</f>
        <v>0.83333333333333337</v>
      </c>
      <c r="B19" s="16" t="str">
        <f>IF(A18 &lt;&gt; "", IF(A17="DIMANCHE", "(majoration dimanche)", ""), "")</f>
        <v/>
      </c>
      <c r="C19" s="73">
        <f>IF(C17 = C18, (MOD(D18-D17,1)),0)</f>
        <v>0</v>
      </c>
      <c r="D19" s="67">
        <f>IF(C17=0 / 24,0,IF((MOD(C17-D17,1))&lt;6 / 24,0,B33))</f>
        <v>0</v>
      </c>
      <c r="E19" s="40">
        <f>IF(C19&gt;=(6 / 24),B33,(IF(C17 = C18, IF(MOD(D18-D17, 1) &lt;6/24, 0, B33), IF((MOD(D18-C18,1))&lt;6/24,0,B33))))</f>
        <v>0</v>
      </c>
      <c r="F19" s="16" t="str">
        <f>IF(F18=" "," ","(minoration repas nuit)")</f>
        <v xml:space="preserve"> </v>
      </c>
      <c r="G19" s="180"/>
      <c r="H19" s="39">
        <f>IF((E17)&lt;12/24,0/24,(E17)-12/24)</f>
        <v>0</v>
      </c>
    </row>
    <row r="20" spans="1:8" ht="17.25" customHeight="1">
      <c r="A20" s="34" t="str">
        <f>CHOOSE(WEEKDAY(A6+5,2),"LUNDI","MARDI","MERCREDI","JEUDI","VENDREDI","SAMEDI","DIMANCHE")</f>
        <v>SAMEDI</v>
      </c>
      <c r="B20" s="86" t="str">
        <f>IF(OR(C20&lt;&gt;0, C21 &lt;&gt;0,), IF(MOD(C21-C20, 1) &lt; 0.041, "(pause réduite)", ""), "")</f>
        <v/>
      </c>
      <c r="C20" s="107">
        <v>0</v>
      </c>
      <c r="D20" s="66">
        <v>0</v>
      </c>
      <c r="E20" s="47">
        <f>IF(D20= " ",0/24,((MOD(D21-D20,1))-MOD(C21-C20,1)))</f>
        <v>0</v>
      </c>
      <c r="F20" s="47">
        <f>IF(AND(D20&gt;=D21,D20&lt;=A22,D20&lt;&gt;0,D21&lt;&gt;" "),MOD(A33-A22,1)-IF(D21&lt;=A33,A33-D21)+IF(D20&lt;=A33,A33-D20),IF(AND(D20&gt;=D21,D20&gt;A22,D20&lt;&gt;0,D21&lt;&gt;0),MOD(A33-A22,1)-(D20-A22)+IF(D21&gt;=A22,D21-A22)-IF(D21&lt;A33,A33-D21),IF(AND(D20&lt;D21,ISNUMBER(D20),D21&lt;&gt;0),0+IF(AND(D20&lt;=A33,D21&lt;=A33),D21-D20)+IF(AND(D20&lt;=A33,D21&gt;A33),A33-D20)+IF(D21&gt;=A22,D21-D20-IF(D20&lt;=A22,A22-D20)),0)))</f>
        <v>0</v>
      </c>
      <c r="G20" s="47">
        <f>IF(AND(D17=0, D18=0),0/24, (IF(D20=0/24,0/24,IF((MOD(D20-D18,1))&gt;= 11/24,0/24,11/24-(MOD(D20-D18,1))))))</f>
        <v>0</v>
      </c>
      <c r="H20" s="57">
        <v>0</v>
      </c>
    </row>
    <row r="21" spans="1:8" ht="17.25" customHeight="1">
      <c r="A21" s="65">
        <f>IF(A18&lt;&gt; "", (IF(DATE(YEAR(A18),MONTH(A18),DAY(A18))&lt;DATE(YEAR(D3),MONTH(D3),DAY(D3)),DATE(YEAR(D2),MONTH(D2),(DAY(D2)+5)), "")), "")</f>
        <v>43835</v>
      </c>
      <c r="B21" s="15" t="str">
        <f>IF(E21="", "","(journée continue)")</f>
        <v/>
      </c>
      <c r="C21" s="187">
        <f>IF(OR(AND(D20=0/24, D21=0/24,), AND(C20=0/24, D21=0/24), (MOD(D21-C20,24) =D21)), 0/24, C20+1/24)</f>
        <v>0</v>
      </c>
      <c r="D21" s="66">
        <v>0</v>
      </c>
      <c r="E21" s="188" t="str">
        <f>IF(SUM(D22,E22)=0/24,"",SUM(D22,E22))</f>
        <v/>
      </c>
      <c r="F21" s="47" t="str">
        <f>IF(OR(C20 &lt;&gt; 0, C21 &lt;&gt; 0), IF(C20&gt;=A22,-(MOD(C21-C20,1)),IF(C21&lt;=A33,-(MOD(C21-C20,1)),IF(C20&lt;A33, IF(C21&gt;=A33, -MOD(A33-C20,1), -(MOD(C21-A33,1))),IF(C21&gt;A22,-(MOD(C21-A22,1)), " ")))), " ")</f>
        <v xml:space="preserve"> </v>
      </c>
      <c r="G21" s="179"/>
      <c r="H21" s="175"/>
    </row>
    <row r="22" spans="1:8" ht="17.25" customHeight="1">
      <c r="A22" s="70">
        <f>IF(A21="", Deb, IF(A21&gt;DATE(YEAR(A21),3,20),IF(A21&lt;DATE(YEAR(A21),12,21),22 / 24,20 / 24),20 /24))</f>
        <v>0.83333333333333337</v>
      </c>
      <c r="B22" s="16" t="str">
        <f>IF(A21&lt;&gt;"",IF(A20="DIMANCHE","(majoration dimanche)",""), "")</f>
        <v/>
      </c>
      <c r="C22" s="73">
        <f>IF(C20 = C21, (MOD(D21-D20,1)),0)</f>
        <v>0</v>
      </c>
      <c r="D22" s="67">
        <f>IF(C20=0 / 24,0,IF((MOD(C20-D20,1))&lt;6 / 24,0,B33))</f>
        <v>0</v>
      </c>
      <c r="E22" s="40">
        <f>IF(C22&gt;=(6 / 24),B33,(IF(C21 = C20, IF(MOD(D21-D20, 1) &lt;6/24, 0, B33), IF((MOD(D21-C21,1))&lt;6/24,0,B33))))</f>
        <v>0</v>
      </c>
      <c r="F22" s="16" t="str">
        <f>IF(F21=" "," ","(minoration repas nuit)")</f>
        <v xml:space="preserve"> </v>
      </c>
      <c r="G22" s="40"/>
      <c r="H22" s="39">
        <f>IF((E20)&lt;12/24,0/24,(E20)-12/24)</f>
        <v>0</v>
      </c>
    </row>
    <row r="23" spans="1:8" ht="17.25" customHeight="1">
      <c r="A23" s="34" t="str">
        <f>CHOOSE(WEEKDAY(A9+5,2),"LUNDI","MARDI","MERCREDI","JEUDI","VENDREDI","SAMEDI","DIMANCHE")</f>
        <v>DIMANCHE</v>
      </c>
      <c r="B23" s="86" t="str">
        <f>IF(OR(C23&lt;&gt;0, C24 &lt;&gt;0,), IF(MOD(C24-C23, 1) &lt; 0.041, "(pause réduite)", ""), "")</f>
        <v/>
      </c>
      <c r="C23" s="107">
        <v>0</v>
      </c>
      <c r="D23" s="66">
        <v>0</v>
      </c>
      <c r="E23" s="47">
        <f>IF(D23= " ",0/24,((MOD(D24-D23,1))-MOD(C24-C23,1)))</f>
        <v>0</v>
      </c>
      <c r="F23" s="47">
        <f>IF(AND(D23&gt;=D24,D23&lt;=A25,D23&lt;&gt;0,D24&lt;&gt;" "),MOD(A34-A25,1)-IF(D24&lt;=A34,A34-D24)+IF(D23&lt;=A34,A34-D23),IF(AND(D23&gt;=D24,D23&gt;A25,D23&lt;&gt;0,D24&lt;&gt;0),MOD(A34-A25,1)-(D23-A25)+IF(D24&gt;=A25,D24-A25)-IF(D24&lt;A34,A34-D24),IF(AND(D23&lt;D24,ISNUMBER(D23),D24&lt;&gt;0),0+IF(AND(D23&lt;=A34,D24&lt;=A34),D24-D23)+IF(AND(D23&lt;=A34,D24&gt;A34),A34-D23)+IF(D24&gt;=A25,D24-D23-IF(D23&lt;=A25,A25-D23)),0)))</f>
        <v>0</v>
      </c>
      <c r="G23" s="47">
        <f>IF(AND(D20=0, D21=0),0/24, (IF(D23=0/24,0/24,IF((MOD(D23-D21,1))&gt;=11/24,0/24, 11/24-(MOD(D23-D21,1))))))</f>
        <v>0</v>
      </c>
      <c r="H23" s="57">
        <v>0</v>
      </c>
    </row>
    <row r="24" spans="1:8" ht="17.25" customHeight="1">
      <c r="A24" s="65">
        <f>IF(A21&lt;&gt; "", (IF(DATE(YEAR(A21),MONTH(A21),DAY(A21))&lt;DATE(YEAR(D3),MONTH(D3),DAY(D3)),DATE(YEAR(D2),MONTH(D2),(DAY(D2)+6)), "")), "")</f>
        <v>43836</v>
      </c>
      <c r="B24" s="15" t="str">
        <f>IF(E24="", "","(journée continue)")</f>
        <v/>
      </c>
      <c r="C24" s="187">
        <f>IF(OR(AND(D23=0/24, D24=0/24,), AND(C23=0/24, D24=0/24), (MOD(D24-C23,24) =D24)), 0/24, C23+1/24)</f>
        <v>0</v>
      </c>
      <c r="D24" s="66">
        <v>0</v>
      </c>
      <c r="E24" s="188" t="str">
        <f>IF(SUM(D25,E25)=0/24,"",SUM(D25,E25))</f>
        <v/>
      </c>
      <c r="F24" s="47" t="str">
        <f>IF(OR(C23 &lt;&gt; 0, C24 &lt;&gt; 0), IF(C23&gt;=A25,-(MOD(C24-C23,1)),IF(C24&lt;=A34,-(MOD(C24-C23,1)),IF(C23&lt;A34, IF(C24&gt;=A34, -MOD(A34-C23,1), -(MOD(C24-A34,1))),IF(C24&gt;A25,-(MOD(C24-A25,1)), " ")))), " ")</f>
        <v xml:space="preserve"> </v>
      </c>
      <c r="G24" s="14"/>
      <c r="H24" s="175"/>
    </row>
    <row r="25" spans="1:8" ht="17.25" customHeight="1">
      <c r="A25" s="70">
        <f>IF(A24="", Deb, IF(A24&gt;DATE(YEAR(A24),3,20),IF(A24&lt;DATE(YEAR(A24),12,21),22 / 24,20 / 24),20 /24))</f>
        <v>0.83333333333333337</v>
      </c>
      <c r="B25" s="16" t="str">
        <f>IF(A24&lt;&gt;"",IF(A23="DIMANCHE",IF(E23 &gt; 0/24, "(majoration dimanche)", ""),""),"")</f>
        <v/>
      </c>
      <c r="C25" s="73">
        <f>IF(C23 = C24, (MOD(D24-D23,1)),0)</f>
        <v>0</v>
      </c>
      <c r="D25" s="67">
        <f>IF(C23=0 / 24,0,IF((MOD(C23-D23,1))&lt;6 / 24,0,B33))</f>
        <v>0</v>
      </c>
      <c r="E25" s="40">
        <f>IF(C25&gt;=(6 / 24),B33,(IF(C24 = C23, IF(MOD(D24-D23, 1) &lt;6/24, 0,B33), IF((MOD(D24-C24,1))&lt;6/24,0,B33))))</f>
        <v>0</v>
      </c>
      <c r="F25" s="16" t="str">
        <f>IF(F24=" "," ","(minoration repas nuit)")</f>
        <v xml:space="preserve"> </v>
      </c>
      <c r="G25" s="40">
        <f>SUM(H25+H22+H19+H16+H13+H10+H7)</f>
        <v>0</v>
      </c>
      <c r="H25" s="39">
        <f>IF((E23)&lt;12/24,0/24,(E23)-12/24)</f>
        <v>0</v>
      </c>
    </row>
    <row r="26" spans="1:8" ht="17.25" customHeight="1" thickBot="1">
      <c r="A26" s="35"/>
      <c r="B26" s="159"/>
      <c r="C26" s="127"/>
      <c r="D26" s="128" t="s">
        <v>9</v>
      </c>
      <c r="E26" s="129">
        <f>SUM(E5,E6,E8,E9,E11,E12,E14,E15,E17,E18,E20,E21,E23,E24)</f>
        <v>0</v>
      </c>
      <c r="F26" s="129">
        <f>SUM(F5,F6,F8,F9,F11,F12,F14,F15,F17,F18,F20,F21,F23,F24)</f>
        <v>0</v>
      </c>
      <c r="G26" s="130">
        <f>SUM(G5,G8,G11,G14,G17,G20,G23)</f>
        <v>0</v>
      </c>
      <c r="H26" s="131">
        <f>SUM(H23,H24,H21,H20,H18,H17,H15,H14,H12,H11,H9,H8,H6,H5,)</f>
        <v>0</v>
      </c>
    </row>
    <row r="27" spans="1:8" s="3" customFormat="1" ht="13" thickBot="1">
      <c r="A27" s="4"/>
      <c r="B27" s="5"/>
      <c r="C27" s="5"/>
      <c r="D27" s="5"/>
      <c r="E27" s="6"/>
      <c r="F27" s="6"/>
      <c r="G27" s="6"/>
      <c r="H27" s="7"/>
    </row>
    <row r="28" spans="1:8" ht="17.25" customHeight="1">
      <c r="A28" s="132">
        <f>IF(A6 = "", Fin, IF(A6&gt;DATE(YEAR(A6),3,20),IF(A6&lt;DATE(YEAR(A6),12,21),7 / 24,6 / 24),6 /24))</f>
        <v>0.25</v>
      </c>
      <c r="B28" s="6"/>
      <c r="C28" s="6"/>
      <c r="D28" s="78" t="s">
        <v>10</v>
      </c>
      <c r="E28" s="30"/>
      <c r="F28" s="31" t="s">
        <v>11</v>
      </c>
      <c r="G28" s="31"/>
      <c r="H28" s="112"/>
    </row>
    <row r="29" spans="1:8" ht="17.25" customHeight="1">
      <c r="A29" s="132">
        <f>IF(A9= "", Fin, IF(A9&gt;DATE(YEAR(A9),3,20),IF(A9&lt;DATE(YEAR(A9),12,21),7 / 24,6 / 24),6 /24))</f>
        <v>0.25</v>
      </c>
      <c r="B29" s="178"/>
      <c r="C29" s="6"/>
      <c r="D29" s="79" t="s">
        <v>49</v>
      </c>
      <c r="E29" s="17"/>
      <c r="F29" s="183">
        <v>1123.20151475545</v>
      </c>
      <c r="G29" s="18"/>
      <c r="H29" s="113"/>
    </row>
    <row r="30" spans="1:8" ht="17.25" customHeight="1" thickBot="1">
      <c r="A30" s="132">
        <f>IF(A12 = "", Fin, IF(A12&gt;DATE(YEAR(A12),3,20),IF(A12&lt;DATE(YEAR(A12),12,21),7 / 24,6 / 24),6 /24))</f>
        <v>0.25</v>
      </c>
      <c r="B30" s="6"/>
      <c r="C30" s="6"/>
      <c r="D30" s="97" t="s">
        <v>12</v>
      </c>
      <c r="E30" s="98"/>
      <c r="F30" s="184">
        <f>+F29/35</f>
        <v>32.091471850155713</v>
      </c>
      <c r="G30" s="99"/>
      <c r="H30" s="114"/>
    </row>
    <row r="31" spans="1:8" s="3" customFormat="1" ht="17.25" customHeight="1">
      <c r="A31" s="133">
        <f>IF(A15 = "", Fin, IF(A15&gt;DATE(YEAR(A15),3,20),IF(A15&lt;DATE(YEAR(A15),12,21),7 / 24,6 / 24),6 /24))</f>
        <v>0.25</v>
      </c>
      <c r="B31" s="200" t="s">
        <v>64</v>
      </c>
      <c r="C31" s="10"/>
      <c r="D31" s="80" t="s">
        <v>13</v>
      </c>
      <c r="E31" s="19">
        <f>IF(E26&gt;35 / 24,35 / 24,E26)</f>
        <v>0</v>
      </c>
      <c r="F31" s="87">
        <f>(F30*E31)*24</f>
        <v>0</v>
      </c>
      <c r="G31" s="87"/>
      <c r="H31" s="115"/>
    </row>
    <row r="32" spans="1:8" s="3" customFormat="1" ht="17.25" customHeight="1">
      <c r="A32" s="133">
        <f>IF(A18 = "", Fin, IF(A18&gt;DATE(YEAR(A18),3,20),IF(A18&lt;DATE(YEAR(A18),12,21),7 / 24,6 / 24),6 /24))</f>
        <v>0.25</v>
      </c>
      <c r="B32" s="201" t="s">
        <v>65</v>
      </c>
      <c r="C32" s="32" t="s">
        <v>66</v>
      </c>
      <c r="D32" s="81" t="s">
        <v>14</v>
      </c>
      <c r="E32" s="20">
        <f>IF(E26&gt;35 / 24,IF(E26&lt;43 / 24,E26-35 / 24,8 / 24),0 / 24)</f>
        <v>0</v>
      </c>
      <c r="F32" s="88">
        <f>((F30*E32)*24)*1.25</f>
        <v>0</v>
      </c>
      <c r="G32" s="88"/>
      <c r="H32" s="116"/>
    </row>
    <row r="33" spans="1:8" s="3" customFormat="1" ht="17.25" customHeight="1" thickBot="1">
      <c r="A33" s="133">
        <f>IF(A21 = "", Fin, IF(A21&gt;DATE(YEAR(A21),3,20),IF(A21&lt;DATE(YEAR(A21),12,21),7 / 24,6 / 24),6 /24))</f>
        <v>0.25</v>
      </c>
      <c r="B33" s="202">
        <v>1.3888888888888888E-2</v>
      </c>
      <c r="C33" s="33" t="s">
        <v>67</v>
      </c>
      <c r="D33" s="82" t="s">
        <v>15</v>
      </c>
      <c r="E33" s="21">
        <f>IF(E26&gt;47 / 24,4 / 24,IF(E26&gt;43 / 24,E26-43 / 24,0 / 24))</f>
        <v>0</v>
      </c>
      <c r="F33" s="89">
        <f>((F30*E33)*24)*1.5</f>
        <v>0</v>
      </c>
      <c r="G33" s="89"/>
      <c r="H33" s="117"/>
    </row>
    <row r="34" spans="1:8" s="3" customFormat="1" ht="17.25" customHeight="1">
      <c r="A34" s="134">
        <f>IF(A24 = "", Fin, IF(A24&gt;DATE(YEAR(A24),3,20),IF(A24&lt;DATE(YEAR(A24),12,21),7 / 24,6 / 24),6 /24))</f>
        <v>0.25</v>
      </c>
      <c r="B34" s="9"/>
      <c r="C34" s="32" t="s">
        <v>68</v>
      </c>
      <c r="D34" s="81" t="s">
        <v>15</v>
      </c>
      <c r="E34" s="20">
        <f>IF(E26&gt;47 / 24,E26- 47 / 24,0 /24)</f>
        <v>0</v>
      </c>
      <c r="F34" s="88">
        <f>((F30*E34)*24)*1.5</f>
        <v>0</v>
      </c>
      <c r="G34" s="88"/>
      <c r="H34" s="116"/>
    </row>
    <row r="35" spans="1:8" s="3" customFormat="1" ht="17.25" customHeight="1" thickBot="1">
      <c r="A35" s="8"/>
      <c r="B35" s="46"/>
      <c r="C35" s="11"/>
      <c r="D35" s="83" t="s">
        <v>16</v>
      </c>
      <c r="E35" s="22">
        <f>G25</f>
        <v>0</v>
      </c>
      <c r="F35" s="90">
        <f>(F30*E35)*24</f>
        <v>0</v>
      </c>
      <c r="G35" s="90"/>
      <c r="H35" s="118"/>
    </row>
    <row r="36" spans="1:8" s="3" customFormat="1" ht="17.25" customHeight="1">
      <c r="A36" s="8"/>
      <c r="B36" s="74" t="s">
        <v>17</v>
      </c>
      <c r="C36" s="41"/>
      <c r="D36" s="84" t="s">
        <v>18</v>
      </c>
      <c r="E36" s="23">
        <f>F26</f>
        <v>0</v>
      </c>
      <c r="F36" s="91">
        <f>((F30*E36)*24)*0.25</f>
        <v>0</v>
      </c>
      <c r="G36" s="91"/>
      <c r="H36" s="119"/>
    </row>
    <row r="37" spans="1:8" s="3" customFormat="1" ht="17.25" customHeight="1">
      <c r="A37" s="8"/>
      <c r="B37" s="75">
        <f>IF(D2&gt;DATE(YEAR(D2),3,20),IF(D2&lt;DATE(YEAR(D2),12,21),22/24,20/24),20/24)</f>
        <v>0.83333333333333337</v>
      </c>
      <c r="C37" s="13"/>
      <c r="D37" s="85" t="s">
        <v>19</v>
      </c>
      <c r="E37" s="24">
        <f>G26</f>
        <v>0</v>
      </c>
      <c r="F37" s="92">
        <f>((F30*E37)*24)*0.5</f>
        <v>0</v>
      </c>
      <c r="G37" s="92"/>
      <c r="H37" s="120"/>
    </row>
    <row r="38" spans="1:8" s="3" customFormat="1" ht="17.25" customHeight="1">
      <c r="A38" s="8"/>
      <c r="B38" s="76" t="s">
        <v>20</v>
      </c>
      <c r="C38" s="12"/>
      <c r="D38" s="84" t="s">
        <v>47</v>
      </c>
      <c r="E38" s="23">
        <f>H26</f>
        <v>0</v>
      </c>
      <c r="F38" s="91">
        <f>(F30*E38)*24</f>
        <v>0</v>
      </c>
      <c r="G38" s="91"/>
      <c r="H38" s="119"/>
    </row>
    <row r="39" spans="1:8" s="3" customFormat="1" ht="17.25" customHeight="1" thickBot="1">
      <c r="A39" s="123"/>
      <c r="B39" s="77">
        <f>IF(D2&gt;DATE(YEAR(D2),3,20),IF(D2&lt;DATE(YEAR(D2),12,21),7 / 24,6 / 24),6 /24)</f>
        <v>0.25</v>
      </c>
      <c r="C39" s="13"/>
      <c r="D39" s="85" t="s">
        <v>22</v>
      </c>
      <c r="E39" s="24">
        <v>0</v>
      </c>
      <c r="F39" s="92">
        <f>(F30*E39)*24</f>
        <v>0</v>
      </c>
      <c r="G39" s="192"/>
      <c r="H39" s="192"/>
    </row>
    <row r="40" spans="1:8" ht="17.25" customHeight="1">
      <c r="A40" s="36" t="s">
        <v>21</v>
      </c>
      <c r="B40" s="6"/>
      <c r="C40" s="41"/>
      <c r="D40" s="189" t="s">
        <v>29</v>
      </c>
      <c r="E40" s="190">
        <f>IF(B7&lt;&gt;"",E5,IF(B10&lt;&gt;"",E8,IF(B13&lt;&gt;"",E11,IF(B16&lt;&gt;"",E14,IF(B19&lt;&gt;"",E17,IF(B22&lt;&gt;"",E20, IF(B25&lt;&gt;"",E23, 0)))))))</f>
        <v>0</v>
      </c>
      <c r="F40" s="91">
        <f>((F30*E40)*24)*0.5</f>
        <v>0</v>
      </c>
      <c r="G40" s="91"/>
      <c r="H40" s="119"/>
    </row>
    <row r="41" spans="1:8" ht="17" thickBot="1">
      <c r="A41" s="126" t="s">
        <v>23</v>
      </c>
      <c r="B41" s="124"/>
      <c r="C41" s="111"/>
      <c r="D41" s="85" t="str">
        <f>IF(E41&lt;=1, "JOURNEE CONTINUE", "JOURNEES CONTINUES")</f>
        <v>JOURNEE CONTINUE</v>
      </c>
      <c r="E41" s="193">
        <f>SUM(E21,E18,E15,E12,E9,E6, E24)/B33</f>
        <v>0</v>
      </c>
      <c r="F41" s="191"/>
      <c r="G41" s="121"/>
      <c r="H41" s="122"/>
    </row>
    <row r="42" spans="1:8" ht="17" thickBot="1">
      <c r="A42" s="177"/>
      <c r="B42" s="160">
        <f>COUNTIF(E5,"&lt;&gt;0" )+COUNTIF(E8,"&lt;&gt;0")+COUNTIF(E11,"&lt;&gt;0")+COUNTIF(E14,"&lt;&gt;0")+COUNTIF(E17,"&lt;&gt;0")+COUNTIF(E20,"&lt;&gt;0")+COUNTIF(E23,"&lt;&gt;0")</f>
        <v>0</v>
      </c>
      <c r="C42" s="158" t="s">
        <v>53</v>
      </c>
      <c r="D42" s="93" t="s">
        <v>24</v>
      </c>
      <c r="E42" s="94">
        <f>IF(B42&gt;=5,IF(E26=0/24,0/24,IF(E26&lt;35/24,35/24,E26)),E26)</f>
        <v>0</v>
      </c>
      <c r="F42" s="185">
        <f>IF(E42=0/24,0,IF(E42&lt;35/24,SUM(F31:F40),IF(E42&gt;35/24,SUM(F31:F40),F29+SUM(F35:F40))))</f>
        <v>0</v>
      </c>
      <c r="G42" s="95"/>
      <c r="H42" s="96"/>
    </row>
  </sheetData>
  <sheetProtection sheet="1" selectLockedCells="1"/>
  <printOptions horizontalCentered="1"/>
  <pageMargins left="0" right="0" top="0.15748031496062992" bottom="0.15748031496062992" header="0.11811023622047244" footer="0.11811023622047244"/>
  <pageSetup paperSize="9" scale="75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FCCDD-D5C1-46CD-ACCB-2D09FB33D174}">
  <sheetPr>
    <tabColor theme="6"/>
    <pageSetUpPr fitToPage="1"/>
  </sheetPr>
  <dimension ref="A1:H42"/>
  <sheetViews>
    <sheetView zoomScale="75" zoomScaleNormal="75" workbookViewId="0">
      <selection activeCell="D5" sqref="D5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42" t="s">
        <v>0</v>
      </c>
      <c r="B1" s="53" t="str">
        <f>'1er Ass OPV'!B1</f>
        <v>"Production"</v>
      </c>
      <c r="C1" s="108"/>
      <c r="D1" s="64" t="str">
        <f>'1er Ass OPV'!D1</f>
        <v>Semaine N°</v>
      </c>
      <c r="E1" s="43" t="s">
        <v>1</v>
      </c>
      <c r="F1" s="53" t="str">
        <f>'1er Ass OPV'!F1</f>
        <v>Caméra</v>
      </c>
      <c r="G1" s="106"/>
      <c r="H1" s="37"/>
    </row>
    <row r="2" spans="1:8" ht="20" customHeight="1">
      <c r="A2" s="44" t="s">
        <v>27</v>
      </c>
      <c r="B2" s="54" t="str">
        <f>'1er Ass OPV'!B2</f>
        <v>"Film"</v>
      </c>
      <c r="C2" s="61" t="s">
        <v>44</v>
      </c>
      <c r="D2" s="63">
        <f>'1er Ass OPV'!D2</f>
        <v>43830</v>
      </c>
      <c r="E2" s="61" t="s">
        <v>3</v>
      </c>
      <c r="F2" s="54" t="s">
        <v>42</v>
      </c>
      <c r="G2" s="105"/>
      <c r="H2" s="62"/>
    </row>
    <row r="3" spans="1:8" ht="20" customHeight="1" thickBot="1">
      <c r="A3" s="44"/>
      <c r="B3" s="105"/>
      <c r="C3" s="61" t="s">
        <v>45</v>
      </c>
      <c r="D3" s="176">
        <f>D2+DAY(5)</f>
        <v>43836</v>
      </c>
      <c r="E3" s="45"/>
      <c r="F3" s="104"/>
      <c r="G3" s="104"/>
      <c r="H3" s="38"/>
    </row>
    <row r="4" spans="1:8" s="3" customFormat="1" ht="46.5" customHeight="1">
      <c r="A4" s="25" t="s">
        <v>4</v>
      </c>
      <c r="B4" s="26" t="s">
        <v>28</v>
      </c>
      <c r="C4" s="26" t="s">
        <v>50</v>
      </c>
      <c r="D4" s="28" t="s">
        <v>5</v>
      </c>
      <c r="E4" s="26" t="s">
        <v>6</v>
      </c>
      <c r="F4" s="27" t="s">
        <v>7</v>
      </c>
      <c r="G4" s="28" t="s">
        <v>46</v>
      </c>
      <c r="H4" s="29" t="s">
        <v>8</v>
      </c>
    </row>
    <row r="5" spans="1:8" ht="17.25" customHeight="1">
      <c r="A5" s="34" t="str">
        <f>CHOOSE(WEEKDAY(A6,2),"LUNDI","MARDI","MERCREDI","JEUDI","VENDREDI","SAMEDI","DIMANCHE")</f>
        <v>LUNDI</v>
      </c>
      <c r="B5" s="47" t="str">
        <f>IF(OR(C5&lt;&gt;0, C6 &lt;&gt;0,), IF(MOD(C6-C5, 1) &lt; 0.041, "(pause réduite)", ""), "")</f>
        <v/>
      </c>
      <c r="C5" s="107">
        <f>'1er Ass OPV'!C5</f>
        <v>0</v>
      </c>
      <c r="D5" s="66">
        <f>'1er Ass OPV'!D5</f>
        <v>0</v>
      </c>
      <c r="E5" s="47">
        <f>IF(D5= " ",0/24,((MOD(D6-D5,1))-MOD(C6-C5,1)))</f>
        <v>0</v>
      </c>
      <c r="F5" s="47">
        <f>IF(AND(D5&gt;=D6,D5&lt;=A7,D5&lt;&gt;0,D6&lt;&gt;" "),MOD(A28-A7,1)-IF(D6&lt;=A28,A28-D6)+IF(D5&lt;=A28,A28-D5),IF(AND(D5&gt;=D6,D5&gt;A7,D5&lt;&gt;0,D6&lt;&gt;0),MOD(A28-A7,1)-(D5-A7)+IF(D6&gt;=A7,D6-A7)-IF(D6&lt;A28,A28-D6),IF(AND(D5&lt;D6,ISNUMBER(D5),D6&lt;&gt;0),0+IF(AND(D5&lt;=A28,D6&lt;=A28),D6-D5)+IF(AND(D5&lt;=A28,D6&gt;A28),A28-D5)+IF(D6&gt;=A7,D6-D5-IF(D5&lt;=A7,A7-D5)),0)))</f>
        <v>0</v>
      </c>
      <c r="G5" s="47">
        <v>0</v>
      </c>
      <c r="H5" s="57">
        <f>'1er Ass OPV'!H5</f>
        <v>0</v>
      </c>
    </row>
    <row r="6" spans="1:8" ht="17.25" customHeight="1">
      <c r="A6" s="65">
        <f>D2</f>
        <v>43830</v>
      </c>
      <c r="B6" s="71" t="str">
        <f>IF(E6="", "","(journée continue)")</f>
        <v/>
      </c>
      <c r="C6" s="187">
        <f>IF(OR(AND(D5=0/24, D6=0/24,), AND(C5=0/24, D6=0/24), (MOD(D6-C5,24) =D6)), 0/24, C5+1/24)</f>
        <v>0</v>
      </c>
      <c r="D6" s="66">
        <f>'1er Ass OPV'!D6</f>
        <v>0</v>
      </c>
      <c r="E6" s="188" t="str">
        <f>IF(SUM(D7,E7)=0/24,"",SUM(D7,E7))</f>
        <v/>
      </c>
      <c r="F6" s="47" t="str">
        <f>IF(OR(C5 &lt;&gt; 0, C6 &lt;&gt; 0), IF(C5&gt;=A7,-(MOD(C6-C5,1)),IF(C6&lt;=A28,-(MOD(C6-C5,1)),IF(C5&lt;A28, IF(C6&gt;=A28, -MOD(A28-C5,1), -(MOD(C6-A28,1))),IF(C6&gt;A7,-(MOD(C6-A7,1)), " ")))), " ")</f>
        <v xml:space="preserve"> </v>
      </c>
      <c r="G6" s="14"/>
      <c r="H6" s="172"/>
    </row>
    <row r="7" spans="1:8" ht="17.25" customHeight="1">
      <c r="A7" s="70">
        <f>IF(A6="", Deb, IF(A6&gt;DATE(YEAR(A6),3,20),IF(A6&lt;DATE(YEAR(A6),12,21),22 / 24,20 / 24),20 /24))</f>
        <v>0.83333333333333337</v>
      </c>
      <c r="B7" s="69" t="str">
        <f>IF(A6 &lt;&gt; "", IF(A5="DIMANCHE", "(majoration dimanche)", ""), "")</f>
        <v/>
      </c>
      <c r="C7" s="73">
        <f>IF(C6 = C5, (MOD(D6-D5,1)),0)</f>
        <v>0</v>
      </c>
      <c r="D7" s="67">
        <f>IF(C5=0 / 24,0,IF((MOD(C5-D5,1))&lt;6 / 24,0,B33))</f>
        <v>0</v>
      </c>
      <c r="E7" s="40">
        <f>IF(C7&gt;=(6 / 24),B33,(IF(C5 = C6, IF(MOD(D6-D5, 1) &lt;6/24, 0, B33), IF((MOD(D6-C6,1))&lt;6/24,0,B33))))</f>
        <v>0</v>
      </c>
      <c r="F7" s="16" t="str">
        <f>IF(OR(F6=" ", F6=0)," ","(minoration repas nuit)")</f>
        <v xml:space="preserve"> </v>
      </c>
      <c r="G7" s="109"/>
      <c r="H7" s="39">
        <f>IF((E5)&lt;12/24,0/24,(E5)-12/24)</f>
        <v>0</v>
      </c>
    </row>
    <row r="8" spans="1:8" ht="17.25" customHeight="1">
      <c r="A8" s="34" t="str">
        <f>CHOOSE(WEEKDAY(A6+1,2),"LUNDI","MARDI","MERCREDI","JEUDI","VENDREDI","SAMEDI","DIMANCHE")</f>
        <v>MARDI</v>
      </c>
      <c r="B8" s="86" t="str">
        <f>IF(OR(C8&lt;&gt;0, C9 &lt;&gt;0,), IF(MOD(C9-C8, 1) &lt; 0.041, "(pause réduite)", ""), "")</f>
        <v/>
      </c>
      <c r="C8" s="107">
        <f>'1er Ass OPV'!C8</f>
        <v>0</v>
      </c>
      <c r="D8" s="66">
        <f>'1er Ass OPV'!D8</f>
        <v>0</v>
      </c>
      <c r="E8" s="47">
        <f>IF(D8= " ",0/24,((MOD(D9-D8,1))-MOD(C9-C8,1)))</f>
        <v>0</v>
      </c>
      <c r="F8" s="47">
        <f>IF(AND(D8&gt;=D9,D8&lt;=A10,D8&lt;&gt;0,D9&lt;&gt;" "),MOD(A29-A10,1)-IF(D9&lt;=A29,A29-D9)+IF(D8&lt;=A29,A29-D8),IF(AND(D8&gt;=D9,D8&gt;A10,D8&lt;&gt;0,D9&lt;&gt;0),MOD(A29-A10,1)-(D8-A10)+IF(D9&gt;=A10,D9-A10)-IF(D9&lt;A29,A29-D9),IF(AND(D8&lt;D9,ISNUMBER(D8),D9&lt;&gt;0),0+IF(AND(D8&lt;=A29,D9&lt;=A29),D9-D8)+IF(AND(D8&lt;=A29,D9&gt;A29),A29-D8)+IF(D9&gt;=A10,D9-D8-IF(D8&lt;=A10,A10-D8)),0)))</f>
        <v>0</v>
      </c>
      <c r="G8" s="47">
        <f>IF(AND(D5=0, D6=0), 0/24, (IF(D8=0/24,0/24,IF((MOD(D8-D6,1))&gt;=11/24,0/24,11/24-(MOD(D8-D6,1))))))</f>
        <v>0</v>
      </c>
      <c r="H8" s="57">
        <f>'1er Ass OPV'!H8</f>
        <v>0</v>
      </c>
    </row>
    <row r="9" spans="1:8" ht="17.25" customHeight="1">
      <c r="A9" s="65">
        <f>IF(AND(DATE(YEAR(D2),MONTH(D2),DAY(D2))&lt;DATE(YEAR(D3),MONTH(D3),DAY(D3)), A6&lt;&gt;""),DATE(YEAR(D2),MONTH(D2),DAY(D2)+1),"")</f>
        <v>43831</v>
      </c>
      <c r="B9" s="15" t="str">
        <f>IF(E9="", "","(journée continue)")</f>
        <v/>
      </c>
      <c r="C9" s="187">
        <f>IF(OR(AND(D8=0/24, D9=0/24,), AND(C8=0/24, D9=0/24), (MOD(D9-C8,24) =D9)), 0/24, C8+1/24)</f>
        <v>0</v>
      </c>
      <c r="D9" s="66">
        <f>'1er Ass OPV'!D9</f>
        <v>0</v>
      </c>
      <c r="E9" s="188" t="str">
        <f>IF(SUM(D10,E10)=0/24,"",SUM(D10,E10))</f>
        <v/>
      </c>
      <c r="F9" s="47" t="str">
        <f>IF(OR(C8 &lt;&gt; 0, C9 &lt;&gt; 0), IF(C8&gt;=A10,-(MOD(C9-C8,1)),IF(C9&lt;=A29,-(MOD(C9-C8,1)),IF(C8&lt;A29, IF(C9&gt;=A29, -MOD(A29-C8,1), -(MOD(C9-A29,1))),IF(C9&gt;A10,-(MOD(C9-A10,1))," "))))," ")</f>
        <v xml:space="preserve"> </v>
      </c>
      <c r="G9" s="14"/>
      <c r="H9" s="173"/>
    </row>
    <row r="10" spans="1:8" ht="17.25" customHeight="1">
      <c r="A10" s="70">
        <f>IF(A9="", Deb, IF(A9&gt;DATE(YEAR(A9),3,20),IF(A9&lt;DATE(YEAR(A9),12,21),22 / 24,20 / 24),20 /24))</f>
        <v>0.83333333333333337</v>
      </c>
      <c r="B10" s="69" t="str">
        <f>IF(A9 &lt;&gt; "", IF(A8="DIMANCHE", "(majoration dimanche)", ""), "")</f>
        <v/>
      </c>
      <c r="C10" s="73">
        <f>IF(C9 = C8, (MOD(D9-D8,1)),0)</f>
        <v>0</v>
      </c>
      <c r="D10" s="67">
        <f>IF(C8=0 / 24,0,IF((MOD(C8-D8,1))&lt;6 / 24,0,B33))</f>
        <v>0</v>
      </c>
      <c r="E10" s="73">
        <f>IF(C10&gt;=(6 / 24),B33,(IF(C8 = C9, IF(MOD(D9-D8, 1) &lt;6 /24, 0, B33), IF((MOD(D9-C9,1))&lt;6/24,0,B33))))</f>
        <v>0</v>
      </c>
      <c r="F10" s="16" t="str">
        <f>IF(F9=" "," ","(minoration repas nuit)")</f>
        <v xml:space="preserve"> </v>
      </c>
      <c r="G10" s="109"/>
      <c r="H10" s="39">
        <f>IF((E8)&lt;12/24,0/24,(E8)-12/24)</f>
        <v>0</v>
      </c>
    </row>
    <row r="11" spans="1:8" ht="17.25" customHeight="1">
      <c r="A11" s="34" t="str">
        <f>CHOOSE(WEEKDAY(A6+2,2),"LUNDI","MARDI","MERCREDI","JEUDI","VENDREDI","SAMEDI","DIMANCHE")</f>
        <v>MERCREDI</v>
      </c>
      <c r="B11" s="86" t="str">
        <f>IF(OR(C11&lt;&gt;0, C12 &lt;&gt;0,), IF(MOD(C12-C11, 1) &lt; 0.041, "(pause réduite)", ""), "")</f>
        <v/>
      </c>
      <c r="C11" s="107">
        <f>'1er Ass OPV'!C11</f>
        <v>0</v>
      </c>
      <c r="D11" s="66">
        <f>'1er Ass OPV'!D11</f>
        <v>0</v>
      </c>
      <c r="E11" s="47">
        <f>IF(D11= " ",0/24,((MOD(D12-D11,1))-MOD(C12-C11,1)))</f>
        <v>0</v>
      </c>
      <c r="F11" s="47">
        <f>IF(AND(D11&gt;=D12,D11&lt;=A13,D11&lt;&gt;0,D12&lt;&gt;" "),MOD(A30-A13,1)-IF(D12&lt;=A30,A30-D12)+IF(D11&lt;=A30,A30-D11),IF(AND(D11&gt;=D12,D11&gt;A13,D11&lt;&gt;0,D12&lt;&gt;0),MOD(A30-A13,1)-(D11-A13)+IF(D12&gt;=A13,D12-A13)-IF(D12&lt;A30,A30-D12),IF(AND(D11&lt;D12,ISNUMBER(D11),D12&lt;&gt;0),0+IF(AND(D11&lt;=A30,D12&lt;=A30),D12-D11)+IF(AND(D11&lt;=A30,D12&gt;A30),A30-D11)+IF(D12&gt;=A13,D12-D11-IF(D11&lt;=A13,A13-D11)),0)))</f>
        <v>0</v>
      </c>
      <c r="G11" s="47">
        <f>IF(AND(D8=0, D9=0), 0/24, (IF(D11=0/24,0/24,IF((MOD(D11-D9,1))&gt;=11/24,0/24,11/24-(MOD(D11-D9,1))))))</f>
        <v>0</v>
      </c>
      <c r="H11" s="57">
        <f>'1er Ass OPV'!H11</f>
        <v>0</v>
      </c>
    </row>
    <row r="12" spans="1:8" ht="17.25" customHeight="1">
      <c r="A12" s="65">
        <f>IF(AND(DATE(YEAR(A9),MONTH(A9),DAY(A9))&lt;DATE(YEAR(D3),MONTH(D3),DAY(D3)), A9&lt;&gt;""),DATE(YEAR(D2),MONTH(D2),DAY(D2)+2), "")</f>
        <v>43832</v>
      </c>
      <c r="B12" s="15" t="str">
        <f>IF(E12="", "","(journée continue)")</f>
        <v/>
      </c>
      <c r="C12" s="187">
        <f>IF(OR(AND(D11=0/24, D12=0/24,), AND(C11=0/24, D12=0/24), (MOD(D12-C11,24) =D12)), 0/24, C11+1/24)</f>
        <v>0</v>
      </c>
      <c r="D12" s="66">
        <f>'1er Ass OPV'!D12</f>
        <v>0</v>
      </c>
      <c r="E12" s="188" t="str">
        <f>IF(SUM(D13,E13)=0/24,"",SUM(D13,E13))</f>
        <v/>
      </c>
      <c r="F12" s="47" t="str">
        <f>IF(OR(C11 &lt;&gt; 0, C12 &lt;&gt; 0), IF(C11&gt;=A13,-(MOD(C12-C11,1)),IF(C12&lt;=A30,-(MOD(C12-C11,1)),IF(C11&lt;A30, IF(C12&gt;=A30, -MOD(A30-C11,1), -(MOD(C12-A30,1))),IF(C12&gt;A13,-(MOD(C12-A13,1)), " ")))), " ")</f>
        <v xml:space="preserve"> </v>
      </c>
      <c r="G12" s="14"/>
      <c r="H12" s="174"/>
    </row>
    <row r="13" spans="1:8" ht="17.25" customHeight="1">
      <c r="A13" s="70">
        <f>IF(A12="", Deb, IF(A12&gt;DATE(YEAR(A12),3,20),IF(A12&lt;DATE(YEAR(A12),12,21),22 / 24,20 / 24),20 /24))</f>
        <v>0.83333333333333337</v>
      </c>
      <c r="B13" s="16" t="str">
        <f>IF(A12 &lt;&gt; "", IF(A11="DIMANCHE", "(majoration dimanche)", ""), "")</f>
        <v/>
      </c>
      <c r="C13" s="73">
        <f>IF(C12 = C11, (MOD(D12-D11,1)),0)</f>
        <v>0</v>
      </c>
      <c r="D13" s="67">
        <f>IF(C11=0 / 24,0,IF((MOD(C11-D11,1))&lt;6 / 24,0,B33))</f>
        <v>0</v>
      </c>
      <c r="E13" s="40">
        <f>IF(C13&gt;=(6 / 24),B33,(IF(C11 = C12, IF(MOD(D12-D11, 1) &lt;6/24, 0, B33), IF((MOD(D12-C12,1))&lt;6/24,0,B33))))</f>
        <v>0</v>
      </c>
      <c r="F13" s="16" t="str">
        <f>IF(F12=" "," ","(minoration repas nuit)")</f>
        <v xml:space="preserve"> </v>
      </c>
      <c r="G13" s="110"/>
      <c r="H13" s="39">
        <f>IF((E11)&lt;12/24,0/24,(E11)-12/24)</f>
        <v>0</v>
      </c>
    </row>
    <row r="14" spans="1:8" ht="17" customHeight="1">
      <c r="A14" s="34" t="str">
        <f>CHOOSE(WEEKDAY(A6+3,2),"LUNDI","MARDI","MERCREDI","JEUDI","VENDREDI","SAMEDI","DIMANCHE")</f>
        <v>JEUDI</v>
      </c>
      <c r="B14" s="86" t="str">
        <f>IF(OR(C14&lt;&gt;0, C15 &lt;&gt;0,), IF(MOD(C15-C14, 1) &lt; 0.041, "(pause réduite)", ""), "")</f>
        <v/>
      </c>
      <c r="C14" s="107">
        <f>'1er Ass OPV'!C14</f>
        <v>0</v>
      </c>
      <c r="D14" s="66">
        <f>'1er Ass OPV'!D14</f>
        <v>0</v>
      </c>
      <c r="E14" s="47">
        <f>IF(D14= " ",0/24,((MOD(D15-D14,1))-MOD(C15-C14,1)))</f>
        <v>0</v>
      </c>
      <c r="F14" s="47">
        <f>IF(AND(D14&gt;=D15,D14&lt;=A16,D14&lt;&gt;0,D15&lt;&gt;" "),MOD(A31-A16,1)-IF(D15&lt;=A31,A31-D15)+IF(D14&lt;=A31,A31-D14),IF(AND(D14&gt;=D15,D14&gt;A16,D14&lt;&gt;0,D15&lt;&gt;0),MOD(A31-A16,1)-(D14-A16)+IF(D15&gt;=A16,D15-A16)-IF(D15&lt;A31,A31-D15),IF(AND(D14&lt;D15,ISNUMBER(D14),D15&lt;&gt;0),0+IF(AND(D14&lt;=A31,D15&lt;=A31),D15-D14)+IF(AND(D14&lt;=A31,D15&gt;A31),A31-D14)+IF(D15&gt;=A16,D15-D14-IF(D14&lt;=A16,A16-D14)),0)))</f>
        <v>0</v>
      </c>
      <c r="G14" s="47">
        <f>IF(AND(D11=0, D12=0), 0/24, (IF(D14=0/24,0/24,IF((MOD(D14-D12,1))&gt;= 11/24, 0/24, (11/24- (MOD(D14-D12,1)))))))</f>
        <v>0</v>
      </c>
      <c r="H14" s="57">
        <f>'1er Ass OPV'!H14</f>
        <v>0</v>
      </c>
    </row>
    <row r="15" spans="1:8" ht="17.25" customHeight="1">
      <c r="A15" s="65">
        <f>IF(A12&lt;&gt; "", (IF(DATE(YEAR(A12),MONTH(A12),DAY(A12))&lt;DATE(YEAR(D3),MONTH(D3),DAY(D3)),DATE(YEAR(D2),MONTH(D2),(DAY(D2)+3)), "")), "")</f>
        <v>43833</v>
      </c>
      <c r="B15" s="15" t="str">
        <f>IF(E15="", "","(journée continue)")</f>
        <v/>
      </c>
      <c r="C15" s="187">
        <f>IF(OR(AND(D14=0/24, D15=0/24,), AND(C14=0/24, D15=0/24), (MOD(D15-C14,24) =D15)), 0/24, C14+1/24)</f>
        <v>0</v>
      </c>
      <c r="D15" s="66">
        <f>'1er Ass OPV'!D15</f>
        <v>0</v>
      </c>
      <c r="E15" s="188" t="str">
        <f>IF(SUM(D16,E16)=0/24,"",SUM(D16,E16))</f>
        <v/>
      </c>
      <c r="F15" s="47" t="str">
        <f>IF(OR(C14 &lt;&gt; 0, C15 &lt;&gt; 0), IF(C14&gt;=A16,-(MOD(C15-C14,1)),IF(C15&lt;=A31,-(MOD(C15-C14,1)),IF(C14&lt;A31, IF(C15&gt;=A31, -MOD(A31-C14,1), -(MOD(C15-A31,1))),IF(C15&gt;A16,-(MOD(C15-A16,1))," ")))), " ")</f>
        <v xml:space="preserve"> </v>
      </c>
      <c r="G15" s="14"/>
      <c r="H15" s="173"/>
    </row>
    <row r="16" spans="1:8" ht="17.25" customHeight="1">
      <c r="A16" s="70">
        <f>IF(A15="", Deb, IF(A15&gt;DATE(YEAR(A15),3,20),IF(A15&lt;DATE(YEAR(A15),12,21),22 / 24,20 / 24),20 /24))</f>
        <v>0.83333333333333337</v>
      </c>
      <c r="B16" s="16" t="str">
        <f>IF(A15 &lt;&gt; "", IF(A14="DIMANCHE", "(majoration dimanche)", ""), "")</f>
        <v/>
      </c>
      <c r="C16" s="73">
        <f>IF(C14 = C15, (MOD(D15-D14,1)),0)</f>
        <v>0</v>
      </c>
      <c r="D16" s="67">
        <f>IF(C14=0 / 24,0,IF((MOD(C14-D14,1))&lt;6 / 24,0,B33))</f>
        <v>0</v>
      </c>
      <c r="E16" s="40">
        <f>IF(C16&gt;=(6 / 24),B33,(IF(C15 = C14, IF(MOD(D15-D14, 1) &lt;6/24, 0, B33), IF((MOD(D15-C15,1))&lt;6/24,0,B33))))</f>
        <v>0</v>
      </c>
      <c r="F16" s="16" t="str">
        <f>IF(F15=" "," ","(minoration repas nuit)")</f>
        <v xml:space="preserve"> </v>
      </c>
      <c r="G16" s="40"/>
      <c r="H16" s="39">
        <f>IF((E14)&lt;12/24,0/24,(E14)-12/24)</f>
        <v>0</v>
      </c>
    </row>
    <row r="17" spans="1:8" ht="17.25" customHeight="1">
      <c r="A17" s="34" t="str">
        <f>CHOOSE(WEEKDAY(A6+4,2),"LUNDI","MARDI","MERCREDI","JEUDI","VENDREDI","SAMEDI","DIMANCHE")</f>
        <v>VENDREDI</v>
      </c>
      <c r="B17" s="86" t="str">
        <f>IF(OR(C17&lt;&gt;0, C18 &lt;&gt;0,), IF(MOD(C18-C17, 1) &lt; 0.041, "(pause réduite)", ""), "")</f>
        <v/>
      </c>
      <c r="C17" s="107">
        <f>'1er Ass OPV'!C17</f>
        <v>0</v>
      </c>
      <c r="D17" s="66">
        <f>'1er Ass OPV'!D17</f>
        <v>0</v>
      </c>
      <c r="E17" s="47">
        <f>IF(D17=" ",0/24,((MOD(D18-D17,1))-MOD(C18-C17,1)))</f>
        <v>0</v>
      </c>
      <c r="F17" s="47">
        <f>IF(AND(D17&gt;=D18,D17&lt;=A19,D17&lt;&gt;0,D18&lt;&gt;" "),MOD(A32-A19,1)-IF(D18&lt;=A32,A32-D18)+IF(D17&lt;=A32,A32-D17),IF(AND(D17&gt;=D18,D17&gt;A19,D17&lt;&gt;0,D18&lt;&gt;0),MOD(A32-A19,1)-(D17-A19)+IF(D18&gt;=A19,D18-A19)-IF(D18&lt;A32,A32-D18),IF(AND(D17&lt;D18,ISNUMBER(D17),D18&lt;&gt;0),0+IF(AND(D17&lt;=A32,D18&lt;=A32),D18-D17)+IF(AND(D17&lt;=A32,D18&gt;A32),A32-D17)+IF(D18&gt;=A19,D18-D17-IF(D17&lt;=A19,A19-D17)),0)))</f>
        <v>0</v>
      </c>
      <c r="G17" s="47">
        <f>IF(AND(D14=0, D15=0), 0/24,(IF(D17=0/24,0/24,IF((MOD(D17-D15,1))&gt;=11/24,0/24,11/24-(MOD(D17-D15,1))))))</f>
        <v>0</v>
      </c>
      <c r="H17" s="57">
        <f>'1er Ass OPV'!H17</f>
        <v>0</v>
      </c>
    </row>
    <row r="18" spans="1:8" ht="17.25" customHeight="1">
      <c r="A18" s="65">
        <f>IF(A15&lt;&gt; "", (IF(DATE(YEAR(A15),MONTH(A15),DAY(A15))&lt;DATE(YEAR(D3),MONTH(D3),DAY(D3)),DATE(YEAR(D2),MONTH(D2),(DAY(D2)+4)), "")), "")</f>
        <v>43834</v>
      </c>
      <c r="B18" s="15" t="str">
        <f>IF(E18="", "","(journée continue)")</f>
        <v/>
      </c>
      <c r="C18" s="187">
        <f>IF(OR(AND(D17=0/24, D18=0/24,), AND(C17=0/24, D18=0/24), (MOD(D18-C17,24) =D18)), 0/24, C17+1/24)</f>
        <v>0</v>
      </c>
      <c r="D18" s="66">
        <f>'1er Ass OPV'!D18</f>
        <v>0</v>
      </c>
      <c r="E18" s="188" t="str">
        <f>IF(SUM(D19,E19)=0/24,"",SUM(D19,E19))</f>
        <v/>
      </c>
      <c r="F18" s="47" t="str">
        <f>IF(OR(C17 &lt;&gt; 0, C18 &lt;&gt; 0), IF(C17&gt;=A19,-(MOD(C18-C17,1)),IF(C18&lt;=A32,-(MOD(C18-C17,1)),IF(C17&lt;A32, IF(C18&gt;=A32, -MOD(A32-C17,1), -(MOD(C18-A32,1))),IF(C18&gt;A19,-(MOD(C18-A19,1))," ")))), " ")</f>
        <v xml:space="preserve"> </v>
      </c>
      <c r="G18" s="14"/>
      <c r="H18" s="173"/>
    </row>
    <row r="19" spans="1:8" ht="17.25" customHeight="1">
      <c r="A19" s="70">
        <f>IF(A18="", Deb, IF(A18&gt;DATE(YEAR(A18),3,20),IF(A18&lt;DATE(YEAR(A18),12,21),22 / 24,20 / 24),20 /24))</f>
        <v>0.83333333333333337</v>
      </c>
      <c r="B19" s="16" t="str">
        <f>IF(A18 &lt;&gt; "", IF(A17="DIMANCHE", "(majoration dimanche)", ""), "")</f>
        <v/>
      </c>
      <c r="C19" s="73">
        <f>IF(C17 = C18, (MOD(D18-D17,1)),0)</f>
        <v>0</v>
      </c>
      <c r="D19" s="67">
        <f>IF(C17=0 / 24,0,IF((MOD(C17-D17,1))&lt;6 / 24,0,B33))</f>
        <v>0</v>
      </c>
      <c r="E19" s="40">
        <f>IF(C19&gt;=(6 / 24),B33,(IF(C17 = C18, IF(MOD(D18-D17, 1) &lt;6/24, 0, B33), IF((MOD(D18-C18,1))&lt;6/24,0,B33))))</f>
        <v>0</v>
      </c>
      <c r="F19" s="16" t="str">
        <f>IF(F18=" "," ","(minoration repas nuit)")</f>
        <v xml:space="preserve"> </v>
      </c>
      <c r="G19" s="72"/>
      <c r="H19" s="39">
        <f>IF((E17)&lt;12/24,0/24,(E17)-12/24)</f>
        <v>0</v>
      </c>
    </row>
    <row r="20" spans="1:8" ht="17.25" customHeight="1">
      <c r="A20" s="34" t="str">
        <f>CHOOSE(WEEKDAY(A6+5,2),"LUNDI","MARDI","MERCREDI","JEUDI","VENDREDI","SAMEDI","DIMANCHE")</f>
        <v>SAMEDI</v>
      </c>
      <c r="B20" s="86" t="str">
        <f>IF(OR(C20&lt;&gt;0, C21 &lt;&gt;0,), IF(MOD(C21-C20, 1) &lt; 0.041, "(pause réduite)", ""), "")</f>
        <v/>
      </c>
      <c r="C20" s="107">
        <f>'1er Ass OPV'!C20</f>
        <v>0</v>
      </c>
      <c r="D20" s="66">
        <f>'1er Ass OPV'!D20</f>
        <v>0</v>
      </c>
      <c r="E20" s="47">
        <f>IF(D20= " ",0/24,((MOD(D21-D20,1))-MOD(C21-C20,1)))</f>
        <v>0</v>
      </c>
      <c r="F20" s="47">
        <f>IF(AND(D20&gt;=D21,D20&lt;=A22,D20&lt;&gt;0,D21&lt;&gt;" "),MOD(A33-A22,1)-IF(D21&lt;=A33,A33-D21)+IF(D20&lt;=A33,A33-D20),IF(AND(D20&gt;=D21,D20&gt;A22,D20&lt;&gt;0,D21&lt;&gt;0),MOD(A33-A22,1)-(D20-A22)+IF(D21&gt;=A22,D21-A22)-IF(D21&lt;A33,A33-D21),IF(AND(D20&lt;D21,ISNUMBER(D20),D21&lt;&gt;0),0+IF(AND(D20&lt;=A33,D21&lt;=A33),D21-D20)+IF(AND(D20&lt;=A33,D21&gt;A33),A33-D20)+IF(D21&gt;=A22,D21-D20-IF(D20&lt;=A22,A22-D20)),0)))</f>
        <v>0</v>
      </c>
      <c r="G20" s="47">
        <f>IF(AND(D17=0, D18=0),0/24, (IF(D20=0/24,0/24,IF((MOD(D20-D18,1))&gt;=11/24,0/24, 11/24-(MOD(D20-D18,1))))))</f>
        <v>0</v>
      </c>
      <c r="H20" s="57">
        <f>'1er Ass OPV'!H20</f>
        <v>0</v>
      </c>
    </row>
    <row r="21" spans="1:8" ht="17.25" customHeight="1">
      <c r="A21" s="65">
        <f>IF(A18&lt;&gt; "", (IF(DATE(YEAR(A18),MONTH(A18),DAY(A18))&lt;DATE(YEAR(D3),MONTH(D3),DAY(D3)),DATE(YEAR(D2),MONTH(D2),(DAY(D2)+5)), "")), "")</f>
        <v>43835</v>
      </c>
      <c r="B21" s="15" t="str">
        <f>IF(E21="", "","(journée continue)")</f>
        <v/>
      </c>
      <c r="C21" s="187">
        <f>IF(OR(AND(D20=0/24, D21=0/24,), AND(C20=0/24, D21=0/24), (MOD(D21-C20,24) =D21)), 0/24, C20+1/24)</f>
        <v>0</v>
      </c>
      <c r="D21" s="66">
        <f>'1er Ass OPV'!D21</f>
        <v>0</v>
      </c>
      <c r="E21" s="188" t="str">
        <f>IF(SUM(D22,E22)=0/24,"",SUM(D22,E22))</f>
        <v/>
      </c>
      <c r="F21" s="47" t="str">
        <f>IF(OR(C20 &lt;&gt; 0, C21 &lt;&gt; 0), IF(C20&gt;=A22,-(MOD(C21-C20,1)),IF(C21&lt;=A33,-(MOD(C21-C20,1)),IF(C20&lt;A33, IF(C21&gt;=A33, -MOD(A33-C20,1), -(MOD(C21-A33,1))),IF(C21&gt;A22,-(MOD(C21-A22,1)), " ")))), " ")</f>
        <v xml:space="preserve"> </v>
      </c>
      <c r="G21" s="14"/>
      <c r="H21" s="175"/>
    </row>
    <row r="22" spans="1:8" ht="17.25" customHeight="1">
      <c r="A22" s="70">
        <f>IF(A21="", Deb, IF(A21&gt;DATE(YEAR(A21),3,20),IF(A21&lt;DATE(YEAR(A21),12,21),22 / 24,20 / 24),20 /24))</f>
        <v>0.83333333333333337</v>
      </c>
      <c r="B22" s="16" t="str">
        <f>IF(A21&lt;&gt;"",IF(A20="DIMANCHE","(majoration dimanche)",""), "")</f>
        <v/>
      </c>
      <c r="C22" s="73">
        <f>IF(C20 = C21, (MOD(D21-D20,1)),0)</f>
        <v>0</v>
      </c>
      <c r="D22" s="67">
        <f>IF(C20=0 / 24,0,IF((MOD(C20-D20,1))&lt;6 / 24,0,B33))</f>
        <v>0</v>
      </c>
      <c r="E22" s="40">
        <f>IF(C22&gt;=(6 / 24),B33,(IF(C21 = C20, IF(MOD(D21-D20, 1) &lt;6/24, 0, B33), IF((MOD(D21-C21,1))&lt;6/24,0,B33))))</f>
        <v>0</v>
      </c>
      <c r="F22" s="16" t="str">
        <f>IF(F21=" "," ","(minoration repas nuit)")</f>
        <v xml:space="preserve"> </v>
      </c>
      <c r="G22" s="40"/>
      <c r="H22" s="39">
        <f>IF((E20)&lt;12/24,0/24,(E20)-12/24)</f>
        <v>0</v>
      </c>
    </row>
    <row r="23" spans="1:8" ht="17.25" customHeight="1">
      <c r="A23" s="34" t="str">
        <f>CHOOSE(WEEKDAY(A9+5,2),"LUNDI","MARDI","MERCREDI","JEUDI","VENDREDI","SAMEDI","DIMANCHE")</f>
        <v>DIMANCHE</v>
      </c>
      <c r="B23" s="86" t="str">
        <f>IF(OR(C23&lt;&gt;0, C24 &lt;&gt;0,), IF(MOD(C24-C23, 1) &lt; 0.041, "(pause réduite)", ""), "")</f>
        <v/>
      </c>
      <c r="C23" s="107">
        <f>'1er Ass OPV'!C23</f>
        <v>0</v>
      </c>
      <c r="D23" s="66">
        <f>'1er Ass OPV'!D23</f>
        <v>0</v>
      </c>
      <c r="E23" s="47">
        <f>IF(D23= " ",0/24,((MOD(D24-D23,1))-MOD(C24-C23,1)))</f>
        <v>0</v>
      </c>
      <c r="F23" s="47">
        <f>IF(AND(D23&gt;=D24,D23&lt;=A25,D23&lt;&gt;0,D24&lt;&gt;" "),MOD(A34-A25,1)-IF(D24&lt;=A34,A34-D24)+IF(D23&lt;=A34,A34-D23),IF(AND(D23&gt;=D24,D23&gt;A25,D23&lt;&gt;0,D24&lt;&gt;0),MOD(A34-A25,1)-(D23-A25)+IF(D24&gt;=A25,D24-A25)-IF(D24&lt;A34,A34-D24),IF(AND(D23&lt;D24,ISNUMBER(D23),D24&lt;&gt;0),0+IF(AND(D23&lt;=A34,D24&lt;=A34),D24-D23)+IF(AND(D23&lt;=A34,D24&gt;A34),A34-D23)+IF(D24&gt;=A25,D24-D23-IF(D23&lt;=A25,A25-D23)),0)))</f>
        <v>0</v>
      </c>
      <c r="G23" s="47">
        <f>IF(AND(D20=0, D21=0),0/24, (IF(D23=0/24,0/24,IF((MOD(D23-D21,1))&gt;=11/24,0/24, 11/24-(MOD(D23-D21,1))))))</f>
        <v>0</v>
      </c>
      <c r="H23" s="57">
        <f>'1er Ass OPV'!H23</f>
        <v>0</v>
      </c>
    </row>
    <row r="24" spans="1:8" ht="17.25" customHeight="1">
      <c r="A24" s="65">
        <f>IF(A21&lt;&gt; "", (IF(DATE(YEAR(A21),MONTH(A21),DAY(A21))&lt;DATE(YEAR(D3),MONTH(D3),DAY(D3)),DATE(YEAR(D2),MONTH(D2),(DAY(D2)+6)), "")), "")</f>
        <v>43836</v>
      </c>
      <c r="B24" s="15" t="str">
        <f>IF(E24="", "","(journée continue)")</f>
        <v/>
      </c>
      <c r="C24" s="187">
        <f>IF(OR(AND(D23=0/24, D24=0/24,), AND(C23=0/24, D24=0/24), (MOD(D24-C23,24) =D24)), 0/24, C23+1/24)</f>
        <v>0</v>
      </c>
      <c r="D24" s="66">
        <f>'1er Ass OPV'!D24</f>
        <v>0</v>
      </c>
      <c r="E24" s="188" t="str">
        <f>IF(SUM(D25,E25)=0/24,"",SUM(D25,E25))</f>
        <v/>
      </c>
      <c r="F24" s="47" t="str">
        <f>IF(OR(C23 &lt;&gt; 0, C24 &lt;&gt; 0), IF(C23&gt;=A25,-(MOD(C24-C23,1)),IF(C24&lt;=A34,-(MOD(C24-C23,1)),IF(C23&lt;A34, IF(C24&gt;=A34, -MOD(A34-C23,1), -(MOD(C24-A34,1))),IF(C24&gt;A25,-(MOD(C24-A25,1)), " ")))), " ")</f>
        <v xml:space="preserve"> </v>
      </c>
      <c r="G24" s="14"/>
      <c r="H24" s="175"/>
    </row>
    <row r="25" spans="1:8" ht="17.25" customHeight="1">
      <c r="A25" s="70">
        <f>IF(A24="", Deb, IF(A24&gt;DATE(YEAR(A24),3,20),IF(A24&lt;DATE(YEAR(A24),12,21),22 / 24,20 / 24),20 /24))</f>
        <v>0.83333333333333337</v>
      </c>
      <c r="B25" s="16" t="str">
        <f>IF(A24&lt;&gt;"",IF(A23="DIMANCHE",IF(E23 &gt; 0/24, "(majoration dimanche)", ""),""),"")</f>
        <v/>
      </c>
      <c r="C25" s="73">
        <f>IF(C23 = C24, (MOD(D24-D23,1)),0)</f>
        <v>0</v>
      </c>
      <c r="D25" s="67">
        <f>IF(C23=0 / 24,0,IF((MOD(C23-D23,1))&lt;6 / 24,0,B33))</f>
        <v>0</v>
      </c>
      <c r="E25" s="40">
        <f>IF(C25&gt;=(6 / 24),B33,(IF(C24 = C23, IF(MOD(D24-D23, 1) &lt;6/24, 0,B33), IF((MOD(D24-C24,1))&lt;6/24,0,B33))))</f>
        <v>0</v>
      </c>
      <c r="F25" s="16" t="str">
        <f>IF(F24=" "," ","(minoration repas nuit)")</f>
        <v xml:space="preserve"> </v>
      </c>
      <c r="G25" s="40">
        <f>SUM(H25+H22+H19+H16+H13+H10+H7)</f>
        <v>0</v>
      </c>
      <c r="H25" s="39">
        <f>IF((E23)&lt;12/24,0/24,(E23)-12/24)</f>
        <v>0</v>
      </c>
    </row>
    <row r="26" spans="1:8" ht="17.25" customHeight="1" thickBot="1">
      <c r="A26" s="35"/>
      <c r="B26" s="159"/>
      <c r="C26" s="127"/>
      <c r="D26" s="128" t="s">
        <v>9</v>
      </c>
      <c r="E26" s="129">
        <f>SUM(E5,E6,E8,E9,E11,E12,E14,E15,E17,E18,E20,E21,E23,E24)</f>
        <v>0</v>
      </c>
      <c r="F26" s="129">
        <f>SUM(F5,F6,F8,F9,F11,F12,F14,F15,F17,F18,F20,F21,F23,F24)</f>
        <v>0</v>
      </c>
      <c r="G26" s="130">
        <f>SUM(G5,G8,G11,G14,G17,G20,G23)</f>
        <v>0</v>
      </c>
      <c r="H26" s="131">
        <f>SUM(H23,H24,H21,H20,H18,H17,H15,H14,H12,H11,H9,H8,H6,H5,)</f>
        <v>0</v>
      </c>
    </row>
    <row r="27" spans="1:8" s="3" customFormat="1" ht="13" thickBot="1">
      <c r="A27" s="4"/>
      <c r="B27" s="5"/>
      <c r="C27" s="5"/>
      <c r="D27" s="5"/>
      <c r="E27" s="6"/>
      <c r="F27" s="6"/>
      <c r="G27" s="6"/>
      <c r="H27" s="7"/>
    </row>
    <row r="28" spans="1:8" ht="17.25" customHeight="1">
      <c r="A28" s="132">
        <f>IF(A6 = "", Fin, IF(A6&gt;DATE(YEAR(A6),3,20),IF(A6&lt;DATE(YEAR(A6),12,21),7 / 24,6 / 24),6 /24))</f>
        <v>0.25</v>
      </c>
      <c r="B28" s="6"/>
      <c r="C28" s="6"/>
      <c r="D28" s="78" t="s">
        <v>10</v>
      </c>
      <c r="E28" s="30"/>
      <c r="F28" s="31" t="s">
        <v>25</v>
      </c>
      <c r="G28" s="31"/>
      <c r="H28" s="112"/>
    </row>
    <row r="29" spans="1:8" ht="17.25" customHeight="1">
      <c r="A29" s="132">
        <f>IF(A9= "", Fin, IF(A9&gt;DATE(YEAR(A9),3,20),IF(A9&lt;DATE(YEAR(A9),12,21),7 / 24,6 / 24),6 /24))</f>
        <v>0.25</v>
      </c>
      <c r="B29" s="6"/>
      <c r="C29" s="6"/>
      <c r="D29" s="79" t="s">
        <v>49</v>
      </c>
      <c r="E29" s="17"/>
      <c r="F29" s="183">
        <v>902.600446583956</v>
      </c>
      <c r="G29" s="18"/>
      <c r="H29" s="113"/>
    </row>
    <row r="30" spans="1:8" ht="17.25" customHeight="1" thickBot="1">
      <c r="A30" s="132">
        <f>IF(A12 = "", Fin, IF(A12&gt;DATE(YEAR(A12),3,20),IF(A12&lt;DATE(YEAR(A12),12,21),7 / 24,6 / 24),6 /24))</f>
        <v>0.25</v>
      </c>
      <c r="B30" s="6"/>
      <c r="C30" s="6"/>
      <c r="D30" s="97" t="s">
        <v>12</v>
      </c>
      <c r="E30" s="98"/>
      <c r="F30" s="184">
        <f>+F29/35</f>
        <v>25.788584188113028</v>
      </c>
      <c r="G30" s="99"/>
      <c r="H30" s="114"/>
    </row>
    <row r="31" spans="1:8" s="3" customFormat="1" ht="17.25" customHeight="1">
      <c r="A31" s="133">
        <f>IF(A15 = "", Fin, IF(A15&gt;DATE(YEAR(A15),3,20),IF(A15&lt;DATE(YEAR(A15),12,21),7 / 24,6 / 24),6 /24))</f>
        <v>0.25</v>
      </c>
      <c r="B31" s="200" t="s">
        <v>64</v>
      </c>
      <c r="C31" s="10"/>
      <c r="D31" s="80" t="s">
        <v>13</v>
      </c>
      <c r="E31" s="19">
        <f>IF(E26&gt;35 / 24,35 / 24,E26)</f>
        <v>0</v>
      </c>
      <c r="F31" s="87">
        <f>(F30*E31)*24</f>
        <v>0</v>
      </c>
      <c r="G31" s="87"/>
      <c r="H31" s="115"/>
    </row>
    <row r="32" spans="1:8" s="3" customFormat="1" ht="17.25" customHeight="1">
      <c r="A32" s="133">
        <f>IF(A18 = "", Fin, IF(A18&gt;DATE(YEAR(A18),3,20),IF(A18&lt;DATE(YEAR(A18),12,21),7 / 24,6 / 24),6 /24))</f>
        <v>0.25</v>
      </c>
      <c r="B32" s="201" t="s">
        <v>65</v>
      </c>
      <c r="C32" s="32" t="s">
        <v>66</v>
      </c>
      <c r="D32" s="81" t="s">
        <v>14</v>
      </c>
      <c r="E32" s="20">
        <f>IF(E26&gt;35 / 24,IF(E26&lt;43 / 24,E26-35 / 24,8 / 24),0 / 24)</f>
        <v>0</v>
      </c>
      <c r="F32" s="88">
        <f>((F30*E32)*24)*1.25</f>
        <v>0</v>
      </c>
      <c r="G32" s="88"/>
      <c r="H32" s="116"/>
    </row>
    <row r="33" spans="1:8" s="3" customFormat="1" ht="17.25" customHeight="1" thickBot="1">
      <c r="A33" s="133">
        <f>IF(A21 = "", Fin, IF(A21&gt;DATE(YEAR(A21),3,20),IF(A21&lt;DATE(YEAR(A21),12,21),7 / 24,6 / 24),6 /24))</f>
        <v>0.25</v>
      </c>
      <c r="B33" s="202">
        <v>1.3888888888888888E-2</v>
      </c>
      <c r="C33" s="33" t="s">
        <v>67</v>
      </c>
      <c r="D33" s="82" t="s">
        <v>15</v>
      </c>
      <c r="E33" s="21">
        <f>IF(E26&gt;47 / 24,4 / 24,IF(E26&gt;43 / 24,E26-43 / 24,0 / 24))</f>
        <v>0</v>
      </c>
      <c r="F33" s="89">
        <f>((F30*E33)*24)*1.5</f>
        <v>0</v>
      </c>
      <c r="G33" s="89"/>
      <c r="H33" s="117"/>
    </row>
    <row r="34" spans="1:8" s="3" customFormat="1" ht="17.25" customHeight="1">
      <c r="A34" s="134">
        <f>IF(A24 = "", Fin, IF(A24&gt;DATE(YEAR(A24),3,20),IF(A24&lt;DATE(YEAR(A24),12,21),7 / 24,6 / 24),6 /24))</f>
        <v>0.25</v>
      </c>
      <c r="B34" s="9"/>
      <c r="C34" s="32" t="s">
        <v>68</v>
      </c>
      <c r="D34" s="81" t="s">
        <v>15</v>
      </c>
      <c r="E34" s="20">
        <f>IF(E26&gt;47 / 24,E26- 47 / 24,0 /24)</f>
        <v>0</v>
      </c>
      <c r="F34" s="88">
        <f>((F30*E34)*24)*1.5</f>
        <v>0</v>
      </c>
      <c r="G34" s="88"/>
      <c r="H34" s="116"/>
    </row>
    <row r="35" spans="1:8" s="3" customFormat="1" ht="17.25" customHeight="1" thickBot="1">
      <c r="A35" s="8"/>
      <c r="B35" s="46"/>
      <c r="C35" s="11"/>
      <c r="D35" s="83" t="s">
        <v>16</v>
      </c>
      <c r="E35" s="22">
        <f>G25</f>
        <v>0</v>
      </c>
      <c r="F35" s="90">
        <f>(F30*E35)*24</f>
        <v>0</v>
      </c>
      <c r="G35" s="90"/>
      <c r="H35" s="118"/>
    </row>
    <row r="36" spans="1:8" s="3" customFormat="1" ht="17.25" customHeight="1">
      <c r="A36" s="8"/>
      <c r="B36" s="74" t="s">
        <v>17</v>
      </c>
      <c r="C36" s="41"/>
      <c r="D36" s="84" t="s">
        <v>18</v>
      </c>
      <c r="E36" s="23">
        <f>F26</f>
        <v>0</v>
      </c>
      <c r="F36" s="91">
        <f>((F30*E36)*24)*0.25</f>
        <v>0</v>
      </c>
      <c r="G36" s="91"/>
      <c r="H36" s="119"/>
    </row>
    <row r="37" spans="1:8" s="3" customFormat="1" ht="17.25" customHeight="1">
      <c r="A37" s="8"/>
      <c r="B37" s="75">
        <f>IF(D2&gt;DATE(YEAR(D2),3,20),IF(D2&lt;DATE(YEAR(D2),12,21),22/24,20/24),20/24)</f>
        <v>0.83333333333333337</v>
      </c>
      <c r="C37" s="13"/>
      <c r="D37" s="85" t="s">
        <v>19</v>
      </c>
      <c r="E37" s="24">
        <f>G26</f>
        <v>0</v>
      </c>
      <c r="F37" s="92">
        <f>((F30*E37)*24)*0.5</f>
        <v>0</v>
      </c>
      <c r="G37" s="92"/>
      <c r="H37" s="120"/>
    </row>
    <row r="38" spans="1:8" s="3" customFormat="1" ht="17.25" customHeight="1">
      <c r="A38" s="8"/>
      <c r="B38" s="76" t="s">
        <v>20</v>
      </c>
      <c r="C38" s="12"/>
      <c r="D38" s="84" t="s">
        <v>47</v>
      </c>
      <c r="E38" s="23">
        <f>H26</f>
        <v>0</v>
      </c>
      <c r="F38" s="91">
        <f>(F30*E38)*24</f>
        <v>0</v>
      </c>
      <c r="G38" s="91"/>
      <c r="H38" s="119"/>
    </row>
    <row r="39" spans="1:8" s="3" customFormat="1" ht="17.25" customHeight="1" thickBot="1">
      <c r="A39" s="123"/>
      <c r="B39" s="77">
        <f>IF(D2&gt;DATE(YEAR(D2),3,20),IF(D2&lt;DATE(YEAR(D2),12,21),7 / 24,6 / 24),6 /24)</f>
        <v>0.25</v>
      </c>
      <c r="C39" s="13"/>
      <c r="D39" s="85" t="s">
        <v>22</v>
      </c>
      <c r="E39" s="24">
        <v>0</v>
      </c>
      <c r="F39" s="92">
        <f>(F30*E39)*24</f>
        <v>0</v>
      </c>
      <c r="G39" s="92"/>
      <c r="H39" s="120"/>
    </row>
    <row r="40" spans="1:8" ht="17.25" customHeight="1">
      <c r="A40" s="36" t="s">
        <v>21</v>
      </c>
      <c r="B40" s="6"/>
      <c r="C40" s="41"/>
      <c r="D40" s="189" t="s">
        <v>29</v>
      </c>
      <c r="E40" s="190">
        <f>IF(B7&lt;&gt;"",E5,IF(B10&lt;&gt;"",E8,IF(B13&lt;&gt;"",E11,IF(B16&lt;&gt;"",E14,IF(B19&lt;&gt;"",E17,IF(B22&lt;&gt;"",E20, IF(B25&lt;&gt;"",E23, 0)))))))</f>
        <v>0</v>
      </c>
      <c r="F40" s="91">
        <f>((F30*E40)*24)*0.5</f>
        <v>0</v>
      </c>
      <c r="G40" s="91"/>
      <c r="H40" s="119"/>
    </row>
    <row r="41" spans="1:8" ht="17" thickBot="1">
      <c r="A41" s="126" t="s">
        <v>23</v>
      </c>
      <c r="B41" s="124"/>
      <c r="C41" s="111"/>
      <c r="D41" s="85" t="str">
        <f>IF(E41&lt;=1, "JOURNEE CONTINUE", "JOURNEES CONTINUES")</f>
        <v>JOURNEE CONTINUE</v>
      </c>
      <c r="E41" s="193">
        <f>SUM(E21,E18,E15,E12,E9,E6, E24)/B33</f>
        <v>0</v>
      </c>
      <c r="F41" s="191"/>
      <c r="G41" s="121"/>
      <c r="H41" s="122"/>
    </row>
    <row r="42" spans="1:8" ht="17" thickBot="1">
      <c r="A42" s="125"/>
      <c r="B42" s="160">
        <f>COUNTIF(E5,"&lt;&gt;0" )+COUNTIF(E8,"&lt;&gt;0")+COUNTIF(E11,"&lt;&gt;0")+COUNTIF(E14,"&lt;&gt;0")+COUNTIF(E17,"&lt;&gt;0")+COUNTIF(E20,"&lt;&gt;0")+COUNTIF(E23,"&lt;&gt;0")</f>
        <v>0</v>
      </c>
      <c r="C42" s="158" t="s">
        <v>53</v>
      </c>
      <c r="D42" s="93" t="s">
        <v>24</v>
      </c>
      <c r="E42" s="94">
        <f>IF(B42&gt;=5,IF(E26=0/24,0/24,IF(E26&lt;35/24,35/24,E26)),E26)</f>
        <v>0</v>
      </c>
      <c r="F42" s="185">
        <f>IF(E42=0/24,0,IF(E42&lt;35/24,SUM(F31:F41),IF(E42&gt;35/24,SUM(F31:F41),F29+SUM(F35:F41))))</f>
        <v>0</v>
      </c>
      <c r="G42" s="95"/>
      <c r="H42" s="96"/>
    </row>
  </sheetData>
  <sheetProtection sheet="1" selectLockedCells="1"/>
  <printOptions horizontalCentered="1"/>
  <pageMargins left="0" right="0" top="0.15748031496062992" bottom="0.15748031496062992" header="0.11811023622047244" footer="0.11811023622047244"/>
  <pageSetup paperSize="9" scale="75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8DD16-AF1B-4BAC-9532-5101062BA50A}">
  <sheetPr>
    <tabColor theme="5"/>
    <pageSetUpPr fitToPage="1"/>
  </sheetPr>
  <dimension ref="A1:H42"/>
  <sheetViews>
    <sheetView zoomScale="75" zoomScaleNormal="75" workbookViewId="0">
      <selection activeCell="D5" sqref="D5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42" t="s">
        <v>0</v>
      </c>
      <c r="B1" s="53" t="str">
        <f>'1er Ass OPV'!B1</f>
        <v>"Production"</v>
      </c>
      <c r="C1" s="108"/>
      <c r="D1" s="64" t="str">
        <f>'1er Ass OPV'!D1</f>
        <v>Semaine N°</v>
      </c>
      <c r="E1" s="43" t="s">
        <v>1</v>
      </c>
      <c r="F1" s="53" t="str">
        <f>'1er Ass OPV'!F1</f>
        <v>Caméra</v>
      </c>
      <c r="G1" s="106"/>
      <c r="H1" s="37"/>
    </row>
    <row r="2" spans="1:8" ht="20" customHeight="1">
      <c r="A2" s="44" t="s">
        <v>27</v>
      </c>
      <c r="B2" s="54" t="str">
        <f>'1er Ass OPV'!B2</f>
        <v>"Film"</v>
      </c>
      <c r="C2" s="61" t="s">
        <v>44</v>
      </c>
      <c r="D2" s="63">
        <f>'1er Ass OPV'!D2</f>
        <v>43830</v>
      </c>
      <c r="E2" s="61" t="s">
        <v>3</v>
      </c>
      <c r="F2" s="54" t="s">
        <v>42</v>
      </c>
      <c r="G2" s="105"/>
      <c r="H2" s="62"/>
    </row>
    <row r="3" spans="1:8" ht="20" customHeight="1" thickBot="1">
      <c r="A3" s="44"/>
      <c r="B3" s="105"/>
      <c r="C3" s="61" t="s">
        <v>45</v>
      </c>
      <c r="D3" s="176">
        <f>D2+DAY(5)</f>
        <v>43836</v>
      </c>
      <c r="E3" s="45"/>
      <c r="F3" s="104"/>
      <c r="G3" s="104"/>
      <c r="H3" s="38"/>
    </row>
    <row r="4" spans="1:8" s="3" customFormat="1" ht="46.5" customHeight="1">
      <c r="A4" s="25" t="s">
        <v>4</v>
      </c>
      <c r="B4" s="26" t="s">
        <v>28</v>
      </c>
      <c r="C4" s="26" t="s">
        <v>50</v>
      </c>
      <c r="D4" s="28" t="s">
        <v>5</v>
      </c>
      <c r="E4" s="26" t="s">
        <v>6</v>
      </c>
      <c r="F4" s="27" t="s">
        <v>7</v>
      </c>
      <c r="G4" s="28" t="s">
        <v>46</v>
      </c>
      <c r="H4" s="29" t="s">
        <v>8</v>
      </c>
    </row>
    <row r="5" spans="1:8" ht="17.25" customHeight="1">
      <c r="A5" s="34" t="str">
        <f>CHOOSE(WEEKDAY(A6,2),"LUNDI","MARDI","MERCREDI","JEUDI","VENDREDI","SAMEDI","DIMANCHE")</f>
        <v>LUNDI</v>
      </c>
      <c r="B5" s="47" t="str">
        <f>IF(OR(C5&lt;&gt;0, C6 &lt;&gt;0,), IF(MOD(C6-C5, 1) &lt; 0.041, "(pause réduite)", ""), "")</f>
        <v/>
      </c>
      <c r="C5" s="107">
        <f>'1er Ass OPV'!C5</f>
        <v>0</v>
      </c>
      <c r="D5" s="66">
        <f>'1er Ass OPV'!D5</f>
        <v>0</v>
      </c>
      <c r="E5" s="47">
        <f>IF(D5= " ",0/24,((MOD(D6-D5,1))-MOD(C6-C5,1)))</f>
        <v>0</v>
      </c>
      <c r="F5" s="47">
        <f>IF(AND(D5&gt;=D6,D5&lt;=A7,D5&lt;&gt;0,D6&lt;&gt;" "),MOD(A28-A7,1)-IF(D6&lt;=A28,A28-D6)+IF(D5&lt;=A28,A28-D5),IF(AND(D5&gt;=D6,D5&gt;A7,D5&lt;&gt;0,D6&lt;&gt;0),MOD(A28-A7,1)-(D5-A7)+IF(D6&gt;=A7,D6-A7)-IF(D6&lt;A28,A28-D6),IF(AND(D5&lt;D6,ISNUMBER(D5),D6&lt;&gt;0),0+IF(AND(D5&lt;=A28,D6&lt;=A28),D6-D5)+IF(AND(D5&lt;=A28,D6&gt;A28),A28-D5)+IF(D6&gt;=A7,D6-D5-IF(D5&lt;=A7,A7-D5)),0)))</f>
        <v>0</v>
      </c>
      <c r="G5" s="47">
        <v>0</v>
      </c>
      <c r="H5" s="57">
        <f>'1er Ass OPV'!H5</f>
        <v>0</v>
      </c>
    </row>
    <row r="6" spans="1:8" ht="17.25" customHeight="1">
      <c r="A6" s="65">
        <f>D2</f>
        <v>43830</v>
      </c>
      <c r="B6" s="71" t="str">
        <f>IF(E6="", "","(journée continue)")</f>
        <v/>
      </c>
      <c r="C6" s="187">
        <f>IF(OR(AND(D5=0/24, D6=0/24,), AND(C5=0/24, D6=0/24), (MOD(D6-C5,24) =D6)), 0/24, C5+1/24)</f>
        <v>0</v>
      </c>
      <c r="D6" s="66">
        <f>'1er Ass OPV'!D6</f>
        <v>0</v>
      </c>
      <c r="E6" s="188" t="str">
        <f>IF(SUM(D7,E7)=0/24,"",SUM(D7,E7))</f>
        <v/>
      </c>
      <c r="F6" s="47" t="str">
        <f>IF(OR(C5 &lt;&gt; 0, C6 &lt;&gt; 0), IF(C5&gt;=A7,-(MOD(C6-C5,1)),IF(C6&lt;=A28,-(MOD(C6-C5,1)),IF(C5&lt;A28, IF(C6&gt;=A28, -MOD(A28-C5,1), -(MOD(C6-A28,1))),IF(C6&gt;A7,-(MOD(C6-A7,1)), " ")))), " ")</f>
        <v xml:space="preserve"> </v>
      </c>
      <c r="G6" s="14"/>
      <c r="H6" s="172"/>
    </row>
    <row r="7" spans="1:8" ht="17.25" customHeight="1">
      <c r="A7" s="70">
        <f>IF(A6="", Deb, IF(A6&gt;DATE(YEAR(A6),3,20),IF(A6&lt;DATE(YEAR(A6),12,21),22 / 24,20 / 24),20 /24))</f>
        <v>0.83333333333333337</v>
      </c>
      <c r="B7" s="69" t="str">
        <f>IF(A6 &lt;&gt; "", IF(A5="DIMANCHE", "(majoration dimanche)", ""), "")</f>
        <v/>
      </c>
      <c r="C7" s="73">
        <f>IF(C6 = C5, (MOD(D6-D5,1)),0)</f>
        <v>0</v>
      </c>
      <c r="D7" s="67">
        <f>IF(C5=0 / 24,0,IF((MOD(C5-D5,1))&lt;6 / 24,0,B33))</f>
        <v>0</v>
      </c>
      <c r="E7" s="40">
        <f>IF(C7&gt;=(6 / 24),B33,(IF(C5 = C6, IF(MOD(D6-D5, 1) &lt;6/24, 0, B33), IF((MOD(D6-C6,1))&lt;6/24,0,B33))))</f>
        <v>0</v>
      </c>
      <c r="F7" s="16" t="str">
        <f>IF(OR(F6=" ", F6=0)," ","(minoration repas nuit)")</f>
        <v xml:space="preserve"> </v>
      </c>
      <c r="G7" s="109"/>
      <c r="H7" s="39">
        <f>IF((E5)&lt;12/24,0/24,(E5)-12/24)</f>
        <v>0</v>
      </c>
    </row>
    <row r="8" spans="1:8" ht="17.25" customHeight="1">
      <c r="A8" s="34" t="str">
        <f>CHOOSE(WEEKDAY(A6+1,2),"LUNDI","MARDI","MERCREDI","JEUDI","VENDREDI","SAMEDI","DIMANCHE")</f>
        <v>MARDI</v>
      </c>
      <c r="B8" s="86" t="str">
        <f>IF(OR(C8&lt;&gt;0, C9 &lt;&gt;0,), IF(MOD(C9-C8, 1) &lt; 0.041, "(pause réduite)", ""), "")</f>
        <v/>
      </c>
      <c r="C8" s="107">
        <f>'1er Ass OPV'!C8</f>
        <v>0</v>
      </c>
      <c r="D8" s="66">
        <f>'1er Ass OPV'!D8</f>
        <v>0</v>
      </c>
      <c r="E8" s="47">
        <f>IF(D8= " ",0/24,((MOD(D9-D8,1))-MOD(C9-C8,1)))</f>
        <v>0</v>
      </c>
      <c r="F8" s="47">
        <f>IF(AND(D8&gt;=D9,D8&lt;=A10,D8&lt;&gt;0,D9&lt;&gt;" "),MOD(A29-A10,1)-IF(D9&lt;=A29,A29-D9)+IF(D8&lt;=A29,A29-D8),IF(AND(D8&gt;=D9,D8&gt;A10,D8&lt;&gt;0,D9&lt;&gt;0),MOD(A29-A10,1)-(D8-A10)+IF(D9&gt;=A10,D9-A10)-IF(D9&lt;A29,A29-D9),IF(AND(D8&lt;D9,ISNUMBER(D8),D9&lt;&gt;0),0+IF(AND(D8&lt;=A29,D9&lt;=A29),D9-D8)+IF(AND(D8&lt;=A29,D9&gt;A29),A29-D8)+IF(D9&gt;=A10,D9-D8-IF(D8&lt;=A10,A10-D8)),0)))</f>
        <v>0</v>
      </c>
      <c r="G8" s="47">
        <f>IF(AND(D5=0, D6=0), 0/24, (IF(D8=0/24,0/24,IF((MOD(D8-D6,1))&gt;=11/24,0/24,11/24-(MOD(D8-D6,1))))))</f>
        <v>0</v>
      </c>
      <c r="H8" s="57">
        <f>'1er Ass OPV'!H8</f>
        <v>0</v>
      </c>
    </row>
    <row r="9" spans="1:8" ht="17.25" customHeight="1">
      <c r="A9" s="65">
        <f>IF(AND(DATE(YEAR(D2),MONTH(D2),DAY(D2))&lt;DATE(YEAR(D3),MONTH(D3),DAY(D3)), A6&lt;&gt;""),DATE(YEAR(D2),MONTH(D2),DAY(D2)+1),"")</f>
        <v>43831</v>
      </c>
      <c r="B9" s="15" t="str">
        <f>IF(E9="", "","(journée continue)")</f>
        <v/>
      </c>
      <c r="C9" s="187">
        <f>IF(OR(AND(D8=0/24, D9=0/24,), AND(C8=0/24, D9=0/24), (MOD(D9-C8,24) =D9)), 0/24, C8+1/24)</f>
        <v>0</v>
      </c>
      <c r="D9" s="66">
        <f>'1er Ass OPV'!D9</f>
        <v>0</v>
      </c>
      <c r="E9" s="188" t="str">
        <f>IF(SUM(D10,E10)=0/24,"",SUM(D10,E10))</f>
        <v/>
      </c>
      <c r="F9" s="47" t="str">
        <f>IF(OR(C8 &lt;&gt; 0, C9 &lt;&gt; 0), IF(C8&gt;=A10,-(MOD(C9-C8,1)),IF(C9&lt;=A29,-(MOD(C9-C8,1)),IF(C8&lt;A29, IF(C9&gt;=A29, -MOD(A29-C8,1), -(MOD(C9-A29,1))),IF(C9&gt;A10,-(MOD(C9-A10,1))," "))))," ")</f>
        <v xml:space="preserve"> </v>
      </c>
      <c r="G9" s="14"/>
      <c r="H9" s="173"/>
    </row>
    <row r="10" spans="1:8" ht="17.25" customHeight="1">
      <c r="A10" s="70">
        <f>IF(A9="", Deb, IF(A9&gt;DATE(YEAR(A9),3,20),IF(A9&lt;DATE(YEAR(A9),12,21),22 / 24,20 / 24),20 /24))</f>
        <v>0.83333333333333337</v>
      </c>
      <c r="B10" s="69" t="str">
        <f>IF(A9 &lt;&gt; "", IF(A8="DIMANCHE", "(majoration dimanche)", ""), "")</f>
        <v/>
      </c>
      <c r="C10" s="73">
        <f>IF(C9 = C8, (MOD(D9-D8,1)),0)</f>
        <v>0</v>
      </c>
      <c r="D10" s="67">
        <f>IF(C8=0 / 24,0,IF((MOD(C8-D8,1))&lt;6 / 24,0,B33))</f>
        <v>0</v>
      </c>
      <c r="E10" s="73">
        <f>IF(C10&gt;=(6 / 24),B33,(IF(C8 = C9, IF(MOD(D9-D8, 1) &lt;6 /24, 0, B33), IF((MOD(D9-C9,1))&lt;6/24,0,B33))))</f>
        <v>0</v>
      </c>
      <c r="F10" s="16" t="str">
        <f>IF(F9=" "," ","(minoration repas nuit)")</f>
        <v xml:space="preserve"> </v>
      </c>
      <c r="G10" s="109"/>
      <c r="H10" s="39">
        <f>IF((E8)&lt;12/24,0/24,(E8)-12/24)</f>
        <v>0</v>
      </c>
    </row>
    <row r="11" spans="1:8" ht="17.25" customHeight="1">
      <c r="A11" s="34" t="str">
        <f>CHOOSE(WEEKDAY(A6+2,2),"LUNDI","MARDI","MERCREDI","JEUDI","VENDREDI","SAMEDI","DIMANCHE")</f>
        <v>MERCREDI</v>
      </c>
      <c r="B11" s="86" t="str">
        <f>IF(OR(C11&lt;&gt;0, C12 &lt;&gt;0,), IF(MOD(C12-C11, 1) &lt; 0.041, "(pause réduite)", ""), "")</f>
        <v/>
      </c>
      <c r="C11" s="107">
        <f>'1er Ass OPV'!C11</f>
        <v>0</v>
      </c>
      <c r="D11" s="66">
        <f>'1er Ass OPV'!D11</f>
        <v>0</v>
      </c>
      <c r="E11" s="47">
        <f>IF(D11= " ",0/24,((MOD(D12-D11,1))-MOD(C12-C11,1)))</f>
        <v>0</v>
      </c>
      <c r="F11" s="47">
        <f>IF(AND(D11&gt;=D12,D11&lt;=A13,D11&lt;&gt;0,D12&lt;&gt;" "),MOD(A30-A13,1)-IF(D12&lt;=A30,A30-D12)+IF(D11&lt;=A30,A30-D11),IF(AND(D11&gt;=D12,D11&gt;A13,D11&lt;&gt;0,D12&lt;&gt;0),MOD(A30-A13,1)-(D11-A13)+IF(D12&gt;=A13,D12-A13)-IF(D12&lt;A30,A30-D12),IF(AND(D11&lt;D12,ISNUMBER(D11),D12&lt;&gt;0),0+IF(AND(D11&lt;=A30,D12&lt;=A30),D12-D11)+IF(AND(D11&lt;=A30,D12&gt;A30),A30-D11)+IF(D12&gt;=A13,D12-D11-IF(D11&lt;=A13,A13-D11)),0)))</f>
        <v>0</v>
      </c>
      <c r="G11" s="47">
        <f>IF(AND(D8=0, D9=0), 0/24, (IF(D11=0/24,0/24,IF((MOD(D11-D9,1))&gt;=11/24,0/24,11/24-(MOD(D11-D9,1))))))</f>
        <v>0</v>
      </c>
      <c r="H11" s="57">
        <f>'1er Ass OPV'!H11</f>
        <v>0</v>
      </c>
    </row>
    <row r="12" spans="1:8" ht="17.25" customHeight="1">
      <c r="A12" s="65">
        <f>IF(AND(DATE(YEAR(A9),MONTH(A9),DAY(A9))&lt;DATE(YEAR(D3),MONTH(D3),DAY(D3)), A9&lt;&gt;""),DATE(YEAR(D2),MONTH(D2),DAY(D2)+2), "")</f>
        <v>43832</v>
      </c>
      <c r="B12" s="15" t="str">
        <f>IF(E12="", "","(journée continue)")</f>
        <v/>
      </c>
      <c r="C12" s="187">
        <f>IF(OR(AND(D11=0/24, D12=0/24,), AND(C11=0/24, D12=0/24), (MOD(D12-C11,24) =D12)), 0/24, C11+1/24)</f>
        <v>0</v>
      </c>
      <c r="D12" s="66">
        <f>'1er Ass OPV'!D12</f>
        <v>0</v>
      </c>
      <c r="E12" s="188" t="str">
        <f>IF(SUM(D13,E13)=0/24,"",SUM(D13,E13))</f>
        <v/>
      </c>
      <c r="F12" s="47" t="str">
        <f>IF(OR(C11 &lt;&gt; 0, C12 &lt;&gt; 0), IF(C11&gt;=A13,-(MOD(C12-C11,1)),IF(C12&lt;=A30,-(MOD(C12-C11,1)),IF(C11&lt;A30, IF(C12&gt;=A30, -MOD(A30-C11,1), -(MOD(C12-A30,1))),IF(C12&gt;A13,-(MOD(C12-A13,1)), " ")))), " ")</f>
        <v xml:space="preserve"> </v>
      </c>
      <c r="G12" s="14"/>
      <c r="H12" s="174"/>
    </row>
    <row r="13" spans="1:8" ht="17.25" customHeight="1">
      <c r="A13" s="70">
        <f>IF(A12="", Deb, IF(A12&gt;DATE(YEAR(A12),3,20),IF(A12&lt;DATE(YEAR(A12),12,21),22 / 24,20 / 24),20 /24))</f>
        <v>0.83333333333333337</v>
      </c>
      <c r="B13" s="16" t="str">
        <f>IF(A12 &lt;&gt; "", IF(A11="DIMANCHE", "(majoration dimanche)", ""), "")</f>
        <v/>
      </c>
      <c r="C13" s="73">
        <f>IF(C12 = C11, (MOD(D12-D11,1)),0)</f>
        <v>0</v>
      </c>
      <c r="D13" s="67">
        <f>IF(C11=0 / 24,0,IF((MOD(C11-D11,1))&lt;6 / 24,0,B33))</f>
        <v>0</v>
      </c>
      <c r="E13" s="40">
        <f>IF(C13&gt;=(6 / 24),B33,(IF(C11 = C12, IF(MOD(D12-D11, 1) &lt;6/24, 0, B33), IF((MOD(D12-C12,1))&lt;6/24,0,B33))))</f>
        <v>0</v>
      </c>
      <c r="F13" s="16" t="str">
        <f>IF(F12=" "," ","(minoration repas nuit)")</f>
        <v xml:space="preserve"> </v>
      </c>
      <c r="G13" s="110"/>
      <c r="H13" s="39">
        <f>IF((E11)&lt;12/24,0/24,(E11)-12/24)</f>
        <v>0</v>
      </c>
    </row>
    <row r="14" spans="1:8" ht="17" customHeight="1">
      <c r="A14" s="34" t="str">
        <f>CHOOSE(WEEKDAY(A6+3,2),"LUNDI","MARDI","MERCREDI","JEUDI","VENDREDI","SAMEDI","DIMANCHE")</f>
        <v>JEUDI</v>
      </c>
      <c r="B14" s="86" t="str">
        <f>IF(OR(C14&lt;&gt;0, C15 &lt;&gt;0,), IF(MOD(C15-C14, 1) &lt; 0.041, "(pause réduite)", ""), "")</f>
        <v/>
      </c>
      <c r="C14" s="107">
        <f>'1er Ass OPV'!C14</f>
        <v>0</v>
      </c>
      <c r="D14" s="66">
        <f>'1er Ass OPV'!D14</f>
        <v>0</v>
      </c>
      <c r="E14" s="47">
        <f>IF(D14= " ",0/24,((MOD(D15-D14,1))-MOD(C15-C14,1)))</f>
        <v>0</v>
      </c>
      <c r="F14" s="47">
        <f>IF(AND(D14&gt;=D15,D14&lt;=A16,D14&lt;&gt;0,D15&lt;&gt;" "),MOD(A31-A16,1)-IF(D15&lt;=A31,A31-D15)+IF(D14&lt;=A31,A31-D14),IF(AND(D14&gt;=D15,D14&gt;A16,D14&lt;&gt;0,D15&lt;&gt;0),MOD(A31-A16,1)-(D14-A16)+IF(D15&gt;=A16,D15-A16)-IF(D15&lt;A31,A31-D15),IF(AND(D14&lt;D15,ISNUMBER(D14),D15&lt;&gt;0),0+IF(AND(D14&lt;=A31,D15&lt;=A31),D15-D14)+IF(AND(D14&lt;=A31,D15&gt;A31),A31-D14)+IF(D15&gt;=A16,D15-D14-IF(D14&lt;=A16,A16-D14)),0)))</f>
        <v>0</v>
      </c>
      <c r="G14" s="47">
        <f>IF(AND(D11=0, D12=0), 0/24, (IF(D14=0/24,0/24,IF((MOD(D14-D12,1))&gt;= 11/24, 0/24, (11/24- (MOD(D14-D12,1)))))))</f>
        <v>0</v>
      </c>
      <c r="H14" s="57">
        <f>'1er Ass OPV'!H14</f>
        <v>0</v>
      </c>
    </row>
    <row r="15" spans="1:8" ht="17.25" customHeight="1">
      <c r="A15" s="65">
        <f>IF(A12&lt;&gt; "", (IF(DATE(YEAR(A12),MONTH(A12),DAY(A12))&lt;DATE(YEAR(D3),MONTH(D3),DAY(D3)),DATE(YEAR(D2),MONTH(D2),(DAY(D2)+3)), "")), "")</f>
        <v>43833</v>
      </c>
      <c r="B15" s="15" t="str">
        <f>IF(E15="", "","(journée continue)")</f>
        <v/>
      </c>
      <c r="C15" s="187">
        <f>IF(OR(AND(D14=0/24, D15=0/24,), AND(C14=0/24, D15=0/24), (MOD(D15-C14,24) =D15)), 0/24, C14+1/24)</f>
        <v>0</v>
      </c>
      <c r="D15" s="66">
        <f>'1er Ass OPV'!D15</f>
        <v>0</v>
      </c>
      <c r="E15" s="188" t="str">
        <f>IF(SUM(D16,E16)=0/24,"",SUM(D16,E16))</f>
        <v/>
      </c>
      <c r="F15" s="47" t="str">
        <f>IF(OR(C14 &lt;&gt; 0, C15 &lt;&gt; 0), IF(C14&gt;=A16,-(MOD(C15-C14,1)),IF(C15&lt;=A31,-(MOD(C15-C14,1)),IF(C14&lt;A31, IF(C15&gt;=A31, -MOD(A31-C14,1), -(MOD(C15-A31,1))),IF(C15&gt;A16,-(MOD(C15-A16,1))," ")))), " ")</f>
        <v xml:space="preserve"> </v>
      </c>
      <c r="G15" s="14"/>
      <c r="H15" s="173"/>
    </row>
    <row r="16" spans="1:8" ht="17.25" customHeight="1">
      <c r="A16" s="70">
        <f>IF(A15="", Deb, IF(A15&gt;DATE(YEAR(A15),3,20),IF(A15&lt;DATE(YEAR(A15),12,21),22 / 24,20 / 24),20 /24))</f>
        <v>0.83333333333333337</v>
      </c>
      <c r="B16" s="16" t="str">
        <f>IF(A15 &lt;&gt; "", IF(A14="DIMANCHE", "(majoration dimanche)", ""), "")</f>
        <v/>
      </c>
      <c r="C16" s="73">
        <f>IF(C14 = C15, (MOD(D15-D14,1)),0)</f>
        <v>0</v>
      </c>
      <c r="D16" s="67">
        <f>IF(C14=0 / 24,0,IF((MOD(C14-D14,1))&lt;6 / 24,0,B33))</f>
        <v>0</v>
      </c>
      <c r="E16" s="40">
        <f>IF(C16&gt;=(6 / 24),B33,(IF(C15 = C14, IF(MOD(D15-D14, 1) &lt;6/24, 0, B33), IF((MOD(D15-C15,1))&lt;6/24,0,B33))))</f>
        <v>0</v>
      </c>
      <c r="F16" s="16" t="str">
        <f>IF(F15=" "," ","(minoration repas nuit)")</f>
        <v xml:space="preserve"> </v>
      </c>
      <c r="G16" s="40"/>
      <c r="H16" s="39">
        <f>IF((E14)&lt;12/24,0/24,(E14)-12/24)</f>
        <v>0</v>
      </c>
    </row>
    <row r="17" spans="1:8" ht="17.25" customHeight="1">
      <c r="A17" s="34" t="str">
        <f>CHOOSE(WEEKDAY(A6+4,2),"LUNDI","MARDI","MERCREDI","JEUDI","VENDREDI","SAMEDI","DIMANCHE")</f>
        <v>VENDREDI</v>
      </c>
      <c r="B17" s="86" t="str">
        <f>IF(OR(C17&lt;&gt;0, C18 &lt;&gt;0,), IF(MOD(C18-C17, 1) &lt; 0.041, "(pause réduite)", ""), "")</f>
        <v/>
      </c>
      <c r="C17" s="107">
        <f>'1er Ass OPV'!C17</f>
        <v>0</v>
      </c>
      <c r="D17" s="66">
        <f>'1er Ass OPV'!D17</f>
        <v>0</v>
      </c>
      <c r="E17" s="47">
        <f>IF(D17=" ",0/24,((MOD(D18-D17,1))-MOD(C18-C17,1)))</f>
        <v>0</v>
      </c>
      <c r="F17" s="47">
        <f>IF(AND(D17&gt;=D18,D17&lt;=A19,D17&lt;&gt;0,D18&lt;&gt;" "),MOD(A32-A19,1)-IF(D18&lt;=A32,A32-D18)+IF(D17&lt;=A32,A32-D17),IF(AND(D17&gt;=D18,D17&gt;A19,D17&lt;&gt;0,D18&lt;&gt;0),MOD(A32-A19,1)-(D17-A19)+IF(D18&gt;=A19,D18-A19)-IF(D18&lt;A32,A32-D18),IF(AND(D17&lt;D18,ISNUMBER(D17),D18&lt;&gt;0),0+IF(AND(D17&lt;=A32,D18&lt;=A32),D18-D17)+IF(AND(D17&lt;=A32,D18&gt;A32),A32-D17)+IF(D18&gt;=A19,D18-D17-IF(D17&lt;=A19,A19-D17)),0)))</f>
        <v>0</v>
      </c>
      <c r="G17" s="47">
        <f>IF(AND(D14=0, D15=0), 0/24,(IF(D17=0/24,0/24,IF((MOD(D17-D15,1))&gt;=11/24,0/24,11/24-(MOD(D17-D15,1))))))</f>
        <v>0</v>
      </c>
      <c r="H17" s="57">
        <f>'1er Ass OPV'!H17</f>
        <v>0</v>
      </c>
    </row>
    <row r="18" spans="1:8" ht="17.25" customHeight="1">
      <c r="A18" s="65">
        <f>IF(A15&lt;&gt; "", (IF(DATE(YEAR(A15),MONTH(A15),DAY(A15))&lt;DATE(YEAR(D3),MONTH(D3),DAY(D3)),DATE(YEAR(D2),MONTH(D2),(DAY(D2)+4)), "")), "")</f>
        <v>43834</v>
      </c>
      <c r="B18" s="15" t="str">
        <f>IF(E18="", "","(journée continue)")</f>
        <v/>
      </c>
      <c r="C18" s="187">
        <f>IF(OR(AND(D17=0/24, D18=0/24,), AND(C17=0/24, D18=0/24), (MOD(D18-C17,24) =D18)), 0/24, C17+1/24)</f>
        <v>0</v>
      </c>
      <c r="D18" s="66">
        <f>'1er Ass OPV'!D18</f>
        <v>0</v>
      </c>
      <c r="E18" s="188" t="str">
        <f>IF(SUM(D19,E19)=0/24,"",SUM(D19,E19))</f>
        <v/>
      </c>
      <c r="F18" s="47" t="str">
        <f>IF(OR(C17 &lt;&gt; 0, C18 &lt;&gt; 0), IF(C17&gt;=A19,-(MOD(C18-C17,1)),IF(C18&lt;=A32,-(MOD(C18-C17,1)),IF(C17&lt;A32, IF(C18&gt;=A32, -MOD(A32-C17,1), -(MOD(C18-A32,1))),IF(C18&gt;A19,-(MOD(C18-A19,1))," ")))), " ")</f>
        <v xml:space="preserve"> </v>
      </c>
      <c r="G18" s="14"/>
      <c r="H18" s="173"/>
    </row>
    <row r="19" spans="1:8" ht="17.25" customHeight="1">
      <c r="A19" s="70">
        <f>IF(A18="", Deb, IF(A18&gt;DATE(YEAR(A18),3,20),IF(A18&lt;DATE(YEAR(A18),12,21),22 / 24,20 / 24),20 /24))</f>
        <v>0.83333333333333337</v>
      </c>
      <c r="B19" s="16" t="str">
        <f>IF(A18 &lt;&gt; "", IF(A17="DIMANCHE", "(majoration dimanche)", ""), "")</f>
        <v/>
      </c>
      <c r="C19" s="73">
        <f>IF(C17 = C18, (MOD(D18-D17,1)),0)</f>
        <v>0</v>
      </c>
      <c r="D19" s="67">
        <f>IF(C17=0 / 24,0,IF((MOD(C17-D17,1))&lt;6 / 24,0,B33))</f>
        <v>0</v>
      </c>
      <c r="E19" s="40">
        <f>IF(C19&gt;=(6 / 24),B33,(IF(C17 = C18, IF(MOD(D18-D17, 1) &lt;6/24, 0, B33), IF((MOD(D18-C18,1))&lt;6/24,0,B33))))</f>
        <v>0</v>
      </c>
      <c r="F19" s="16" t="str">
        <f>IF(F18=" "," ","(minoration repas nuit)")</f>
        <v xml:space="preserve"> </v>
      </c>
      <c r="G19" s="72"/>
      <c r="H19" s="39">
        <f>IF((E17)&lt;12/24,0/24,(E17)-12/24)</f>
        <v>0</v>
      </c>
    </row>
    <row r="20" spans="1:8" ht="17.25" customHeight="1">
      <c r="A20" s="34" t="str">
        <f>CHOOSE(WEEKDAY(A6+5,2),"LUNDI","MARDI","MERCREDI","JEUDI","VENDREDI","SAMEDI","DIMANCHE")</f>
        <v>SAMEDI</v>
      </c>
      <c r="B20" s="86" t="str">
        <f>IF(OR(C20&lt;&gt;0, C21 &lt;&gt;0,), IF(MOD(C21-C20, 1) &lt; 0.041, "(pause réduite)", ""), "")</f>
        <v/>
      </c>
      <c r="C20" s="107">
        <f>'1er Ass OPV'!C20</f>
        <v>0</v>
      </c>
      <c r="D20" s="66">
        <f>'1er Ass OPV'!D20</f>
        <v>0</v>
      </c>
      <c r="E20" s="47">
        <f>IF(D20= " ",0/24,((MOD(D21-D20,1))-MOD(C21-C20,1)))</f>
        <v>0</v>
      </c>
      <c r="F20" s="47">
        <f>IF(AND(D20&gt;=D21,D20&lt;=A22,D20&lt;&gt;0,D21&lt;&gt;" "),MOD(A33-A22,1)-IF(D21&lt;=A33,A33-D21)+IF(D20&lt;=A33,A33-D20),IF(AND(D20&gt;=D21,D20&gt;A22,D20&lt;&gt;0,D21&lt;&gt;0),MOD(A33-A22,1)-(D20-A22)+IF(D21&gt;=A22,D21-A22)-IF(D21&lt;A33,A33-D21),IF(AND(D20&lt;D21,ISNUMBER(D20),D21&lt;&gt;0),0+IF(AND(D20&lt;=A33,D21&lt;=A33),D21-D20)+IF(AND(D20&lt;=A33,D21&gt;A33),A33-D20)+IF(D21&gt;=A22,D21-D20-IF(D20&lt;=A22,A22-D20)),0)))</f>
        <v>0</v>
      </c>
      <c r="G20" s="47">
        <f>IF(AND(D17=0, D18=0),0/24, (IF(D20=0/24,0/24,IF((MOD(D20-D18,1))&gt;=11/24,0/24, 11/24-(MOD(D20-D18,1))))))</f>
        <v>0</v>
      </c>
      <c r="H20" s="57">
        <f>'1er Ass OPV'!H20</f>
        <v>0</v>
      </c>
    </row>
    <row r="21" spans="1:8" ht="17.25" customHeight="1">
      <c r="A21" s="65">
        <f>IF(A18&lt;&gt; "", (IF(DATE(YEAR(A18),MONTH(A18),DAY(A18))&lt;DATE(YEAR(D3),MONTH(D3),DAY(D3)),DATE(YEAR(D2),MONTH(D2),(DAY(D2)+5)), "")), "")</f>
        <v>43835</v>
      </c>
      <c r="B21" s="15" t="str">
        <f>IF(E21="", "","(journée continue)")</f>
        <v/>
      </c>
      <c r="C21" s="187">
        <f>IF(OR(AND(D20=0/24, D21=0/24,), AND(C20=0/24, D21=0/24), (MOD(D21-C20,24) =D21)), 0/24, C20+1/24)</f>
        <v>0</v>
      </c>
      <c r="D21" s="66">
        <f>'1er Ass OPV'!D21</f>
        <v>0</v>
      </c>
      <c r="E21" s="188" t="str">
        <f>IF(SUM(D22,E22)=0/24,"",SUM(D22,E22))</f>
        <v/>
      </c>
      <c r="F21" s="47" t="str">
        <f>IF(OR(C20 &lt;&gt; 0, C21 &lt;&gt; 0), IF(C20&gt;=A22,-(MOD(C21-C20,1)),IF(C21&lt;=A33,-(MOD(C21-C20,1)),IF(C20&lt;A33, IF(C21&gt;=A33, -MOD(A33-C20,1), -(MOD(C21-A33,1))),IF(C21&gt;A22,-(MOD(C21-A22,1)), " ")))), " ")</f>
        <v xml:space="preserve"> </v>
      </c>
      <c r="G21" s="14"/>
      <c r="H21" s="175"/>
    </row>
    <row r="22" spans="1:8" ht="17.25" customHeight="1">
      <c r="A22" s="70">
        <f>IF(A21="", Deb, IF(A21&gt;DATE(YEAR(A21),3,20),IF(A21&lt;DATE(YEAR(A21),12,21),22 / 24,20 / 24),20 /24))</f>
        <v>0.83333333333333337</v>
      </c>
      <c r="B22" s="16" t="str">
        <f>IF(A21&lt;&gt;"",IF(A20="DIMANCHE","(majoration dimanche)",""), "")</f>
        <v/>
      </c>
      <c r="C22" s="73">
        <f>IF(C20 = C21, (MOD(D21-D20,1)),0)</f>
        <v>0</v>
      </c>
      <c r="D22" s="67">
        <f>IF(C20=0 / 24,0,IF((MOD(C20-D20,1))&lt;6 / 24,0,B33))</f>
        <v>0</v>
      </c>
      <c r="E22" s="40">
        <f>IF(C22&gt;=(6 / 24),B33,(IF(C21 = C20, IF(MOD(D21-D20, 1) &lt;6/24, 0, B33), IF((MOD(D21-C21,1))&lt;6/24,0,B33))))</f>
        <v>0</v>
      </c>
      <c r="F22" s="16" t="str">
        <f>IF(F21=" "," ","(minoration repas nuit)")</f>
        <v xml:space="preserve"> </v>
      </c>
      <c r="G22" s="40"/>
      <c r="H22" s="39">
        <f>IF((E20)&lt;12/24,0/24,(E20)-12/24)</f>
        <v>0</v>
      </c>
    </row>
    <row r="23" spans="1:8" ht="17.25" customHeight="1">
      <c r="A23" s="34" t="str">
        <f>CHOOSE(WEEKDAY(A9+5,2),"LUNDI","MARDI","MERCREDI","JEUDI","VENDREDI","SAMEDI","DIMANCHE")</f>
        <v>DIMANCHE</v>
      </c>
      <c r="B23" s="86" t="str">
        <f>IF(OR(C23&lt;&gt;0, C24 &lt;&gt;0,), IF(MOD(C24-C23, 1) &lt; 0.041, "(pause réduite)", ""), "")</f>
        <v/>
      </c>
      <c r="C23" s="107">
        <f>'1er Ass OPV'!C23</f>
        <v>0</v>
      </c>
      <c r="D23" s="66">
        <f>'1er Ass OPV'!D23</f>
        <v>0</v>
      </c>
      <c r="E23" s="47">
        <f>IF(D23= " ",0/24,((MOD(D24-D23,1))-MOD(C24-C23,1)))</f>
        <v>0</v>
      </c>
      <c r="F23" s="47">
        <f>IF(AND(D23&gt;=D24,D23&lt;=A25,D23&lt;&gt;0,D24&lt;&gt;" "),MOD(A34-A25,1)-IF(D24&lt;=A34,A34-D24)+IF(D23&lt;=A34,A34-D23),IF(AND(D23&gt;=D24,D23&gt;A25,D23&lt;&gt;0,D24&lt;&gt;0),MOD(A34-A25,1)-(D23-A25)+IF(D24&gt;=A25,D24-A25)-IF(D24&lt;A34,A34-D24),IF(AND(D23&lt;D24,ISNUMBER(D23),D24&lt;&gt;0),0+IF(AND(D23&lt;=A34,D24&lt;=A34),D24-D23)+IF(AND(D23&lt;=A34,D24&gt;A34),A34-D23)+IF(D24&gt;=A25,D24-D23-IF(D23&lt;=A25,A25-D23)),0)))</f>
        <v>0</v>
      </c>
      <c r="G23" s="47">
        <f>IF(AND(D20=0, D21=0),0/24, (IF(D23=0/24,0/24,IF((MOD(D23-D21,1))&gt;=11/24,0/24, 11/24-(MOD(D23-D21,1))))))</f>
        <v>0</v>
      </c>
      <c r="H23" s="57">
        <f>'1er Ass OPV'!H23</f>
        <v>0</v>
      </c>
    </row>
    <row r="24" spans="1:8" ht="17.25" customHeight="1">
      <c r="A24" s="65">
        <f>IF(A21&lt;&gt; "", (IF(DATE(YEAR(A21),MONTH(A21),DAY(A21))&lt;DATE(YEAR(D3),MONTH(D3),DAY(D3)),DATE(YEAR(D2),MONTH(D2),(DAY(D2)+6)), "")), "")</f>
        <v>43836</v>
      </c>
      <c r="B24" s="15" t="str">
        <f>IF(E24="", "","(journée continue)")</f>
        <v/>
      </c>
      <c r="C24" s="187">
        <f>IF(OR(AND(D23=0/24, D24=0/24,), AND(C23=0/24, D24=0/24), (MOD(D24-C23,24) =D24)), 0/24, C23+1/24)</f>
        <v>0</v>
      </c>
      <c r="D24" s="66">
        <f>'1er Ass OPV'!D24</f>
        <v>0</v>
      </c>
      <c r="E24" s="188" t="str">
        <f>IF(SUM(D25,E25)=0/24,"",SUM(D25,E25))</f>
        <v/>
      </c>
      <c r="F24" s="47" t="str">
        <f>IF(OR(C23 &lt;&gt; 0, C24 &lt;&gt; 0), IF(C23&gt;=A25,-(MOD(C24-C23,1)),IF(C24&lt;=A34,-(MOD(C24-C23,1)),IF(C23&lt;A34, IF(C24&gt;=A34, -MOD(A34-C23,1), -(MOD(C24-A34,1))),IF(C24&gt;A25,-(MOD(C24-A25,1)), " ")))), " ")</f>
        <v xml:space="preserve"> </v>
      </c>
      <c r="G24" s="14"/>
      <c r="H24" s="175"/>
    </row>
    <row r="25" spans="1:8" ht="17.25" customHeight="1">
      <c r="A25" s="70">
        <f>IF(A24="", Deb, IF(A24&gt;DATE(YEAR(A24),3,20),IF(A24&lt;DATE(YEAR(A24),12,21),22 / 24,20 / 24),20 /24))</f>
        <v>0.83333333333333337</v>
      </c>
      <c r="B25" s="16" t="str">
        <f>IF(A24&lt;&gt;"",IF(A23="DIMANCHE",IF(E23 &gt; 0/24, "(majoration dimanche)", ""),""),"")</f>
        <v/>
      </c>
      <c r="C25" s="73">
        <f>IF(C23 = C24, (MOD(D24-D23,1)),0)</f>
        <v>0</v>
      </c>
      <c r="D25" s="67">
        <f>IF(C23=0 / 24,0,IF((MOD(C23-D23,1))&lt;6 / 24,0,B33))</f>
        <v>0</v>
      </c>
      <c r="E25" s="40">
        <f>IF(C25&gt;=(6 / 24),B33,(IF(C24 = C23, IF(MOD(D24-D23, 1) &lt;6/24, 0,B33), IF((MOD(D24-C24,1))&lt;6/24,0,B33))))</f>
        <v>0</v>
      </c>
      <c r="F25" s="16" t="str">
        <f>IF(F24=" "," ","(minoration repas nuit)")</f>
        <v xml:space="preserve"> </v>
      </c>
      <c r="G25" s="40">
        <f>SUM(H25+H22+H19+H16+H13+H10+H7)</f>
        <v>0</v>
      </c>
      <c r="H25" s="39">
        <f>IF((E23)&lt;12/24,0/24,(E23)-12/24)</f>
        <v>0</v>
      </c>
    </row>
    <row r="26" spans="1:8" ht="17.25" customHeight="1" thickBot="1">
      <c r="A26" s="35"/>
      <c r="B26" s="159"/>
      <c r="C26" s="127"/>
      <c r="D26" s="128" t="s">
        <v>9</v>
      </c>
      <c r="E26" s="129">
        <f>SUM(E5,E6,E8,E9,E11,E12,E14,E15,E17,E18,E20,E21,E23,E24)</f>
        <v>0</v>
      </c>
      <c r="F26" s="129">
        <f>SUM(F5,F6,F8,F9,F11,F12,F14,F15,F17,F18,F20,F21,F23,F24)</f>
        <v>0</v>
      </c>
      <c r="G26" s="130">
        <f>SUM(G5,G8,G11,G14,G17,G20,G23)</f>
        <v>0</v>
      </c>
      <c r="H26" s="131">
        <f>SUM(H23,H24,H21,H20,H18,H17,H15,H14,H12,H11,H9,H8,H6,H5,)</f>
        <v>0</v>
      </c>
    </row>
    <row r="27" spans="1:8" s="3" customFormat="1" ht="13" thickBot="1">
      <c r="A27" s="4"/>
      <c r="B27" s="5"/>
      <c r="C27" s="5"/>
      <c r="D27" s="5"/>
      <c r="E27" s="6"/>
      <c r="F27" s="6"/>
      <c r="G27" s="6"/>
      <c r="H27" s="7"/>
    </row>
    <row r="28" spans="1:8" ht="17.25" customHeight="1">
      <c r="A28" s="132">
        <f>IF(A6 = "", Fin, IF(A6&gt;DATE(YEAR(A6),3,20),IF(A6&lt;DATE(YEAR(A6),12,21),7 / 24,6 / 24),6 /24))</f>
        <v>0.25</v>
      </c>
      <c r="B28" s="6"/>
      <c r="C28" s="6"/>
      <c r="D28" s="78" t="s">
        <v>10</v>
      </c>
      <c r="E28" s="30"/>
      <c r="F28" s="31" t="s">
        <v>30</v>
      </c>
      <c r="G28" s="31"/>
      <c r="H28" s="112"/>
    </row>
    <row r="29" spans="1:8" ht="17.25" customHeight="1">
      <c r="A29" s="132">
        <f>IF(A9= "", Fin, IF(A9&gt;DATE(YEAR(A9),3,20),IF(A9&lt;DATE(YEAR(A9),12,21),7 / 24,6 / 24),6 /24))</f>
        <v>0.25</v>
      </c>
      <c r="B29" s="6"/>
      <c r="C29" s="6"/>
      <c r="D29" s="79" t="s">
        <v>49</v>
      </c>
      <c r="E29" s="17"/>
      <c r="F29" s="183">
        <v>463.28472749999997</v>
      </c>
      <c r="G29" s="18"/>
      <c r="H29" s="113"/>
    </row>
    <row r="30" spans="1:8" ht="17.25" customHeight="1" thickBot="1">
      <c r="A30" s="132">
        <f>IF(A12 = "", Fin, IF(A12&gt;DATE(YEAR(A12),3,20),IF(A12&lt;DATE(YEAR(A12),12,21),7 / 24,6 / 24),6 /24))</f>
        <v>0.25</v>
      </c>
      <c r="B30" s="6"/>
      <c r="C30" s="6"/>
      <c r="D30" s="97" t="s">
        <v>12</v>
      </c>
      <c r="E30" s="98"/>
      <c r="F30" s="184">
        <f>+F29/35</f>
        <v>13.236706499999999</v>
      </c>
      <c r="G30" s="99"/>
      <c r="H30" s="114"/>
    </row>
    <row r="31" spans="1:8" s="3" customFormat="1" ht="17.25" customHeight="1">
      <c r="A31" s="133">
        <f>IF(A15 = "", Fin, IF(A15&gt;DATE(YEAR(A15),3,20),IF(A15&lt;DATE(YEAR(A15),12,21),7 / 24,6 / 24),6 /24))</f>
        <v>0.25</v>
      </c>
      <c r="B31" s="200" t="s">
        <v>64</v>
      </c>
      <c r="C31" s="10"/>
      <c r="D31" s="80" t="s">
        <v>13</v>
      </c>
      <c r="E31" s="19">
        <f>IF(E26&gt;35 / 24,35 / 24,E26)</f>
        <v>0</v>
      </c>
      <c r="F31" s="87">
        <f>(F30*E31)*24</f>
        <v>0</v>
      </c>
      <c r="G31" s="87"/>
      <c r="H31" s="115"/>
    </row>
    <row r="32" spans="1:8" s="3" customFormat="1" ht="17.25" customHeight="1">
      <c r="A32" s="133">
        <f>IF(A18 = "", Fin, IF(A18&gt;DATE(YEAR(A18),3,20),IF(A18&lt;DATE(YEAR(A18),12,21),7 / 24,6 / 24),6 /24))</f>
        <v>0.25</v>
      </c>
      <c r="B32" s="201" t="s">
        <v>65</v>
      </c>
      <c r="C32" s="32" t="s">
        <v>66</v>
      </c>
      <c r="D32" s="81" t="s">
        <v>14</v>
      </c>
      <c r="E32" s="20">
        <f>IF(E26&gt;35 / 24,IF(E26&lt;43 / 24,E26-35 / 24,8 / 24),0 / 24)</f>
        <v>0</v>
      </c>
      <c r="F32" s="88">
        <f>((F30*E32)*24)*1.25</f>
        <v>0</v>
      </c>
      <c r="G32" s="88"/>
      <c r="H32" s="116"/>
    </row>
    <row r="33" spans="1:8" s="3" customFormat="1" ht="17.25" customHeight="1" thickBot="1">
      <c r="A33" s="133">
        <f>IF(A21 = "", Fin, IF(A21&gt;DATE(YEAR(A21),3,20),IF(A21&lt;DATE(YEAR(A21),12,21),7 / 24,6 / 24),6 /24))</f>
        <v>0.25</v>
      </c>
      <c r="B33" s="202">
        <v>1.3888888888888888E-2</v>
      </c>
      <c r="C33" s="33" t="s">
        <v>67</v>
      </c>
      <c r="D33" s="82" t="s">
        <v>15</v>
      </c>
      <c r="E33" s="21">
        <f>IF(E26&gt;47 / 24,4 / 24,IF(E26&gt;43 / 24,E26-43 / 24,0 / 24))</f>
        <v>0</v>
      </c>
      <c r="F33" s="89">
        <f>((F30*E33)*24)*1.5</f>
        <v>0</v>
      </c>
      <c r="G33" s="89"/>
      <c r="H33" s="117"/>
    </row>
    <row r="34" spans="1:8" s="3" customFormat="1" ht="17.25" customHeight="1">
      <c r="A34" s="134">
        <f>IF(A24 = "", Fin, IF(A24&gt;DATE(YEAR(A24),3,20),IF(A24&lt;DATE(YEAR(A24),12,21),7 / 24,6 / 24),6 /24))</f>
        <v>0.25</v>
      </c>
      <c r="B34" s="9"/>
      <c r="C34" s="32" t="s">
        <v>68</v>
      </c>
      <c r="D34" s="81" t="s">
        <v>15</v>
      </c>
      <c r="E34" s="20">
        <f>IF(E26&gt;47 / 24,E26- 47 / 24,0 /24)</f>
        <v>0</v>
      </c>
      <c r="F34" s="88">
        <f>((F30*E34)*24)*1.5</f>
        <v>0</v>
      </c>
      <c r="G34" s="88"/>
      <c r="H34" s="116"/>
    </row>
    <row r="35" spans="1:8" s="3" customFormat="1" ht="17.25" customHeight="1" thickBot="1">
      <c r="A35" s="8"/>
      <c r="B35" s="46"/>
      <c r="C35" s="11"/>
      <c r="D35" s="83" t="s">
        <v>16</v>
      </c>
      <c r="E35" s="22">
        <f>G25</f>
        <v>0</v>
      </c>
      <c r="F35" s="90">
        <f>(F30*E35)*24</f>
        <v>0</v>
      </c>
      <c r="G35" s="90"/>
      <c r="H35" s="118"/>
    </row>
    <row r="36" spans="1:8" s="3" customFormat="1" ht="17.25" customHeight="1">
      <c r="A36" s="8"/>
      <c r="B36" s="74" t="s">
        <v>17</v>
      </c>
      <c r="C36" s="41"/>
      <c r="D36" s="84" t="s">
        <v>18</v>
      </c>
      <c r="E36" s="23">
        <f>F26</f>
        <v>0</v>
      </c>
      <c r="F36" s="91">
        <f>((F30*E36)*24)*0.25</f>
        <v>0</v>
      </c>
      <c r="G36" s="91"/>
      <c r="H36" s="119"/>
    </row>
    <row r="37" spans="1:8" s="3" customFormat="1" ht="17.25" customHeight="1">
      <c r="A37" s="8"/>
      <c r="B37" s="75">
        <f>IF(D2&gt;DATE(YEAR(D2),3,20),IF(D2&lt;DATE(YEAR(D2),12,21),22/24,20/24),20/24)</f>
        <v>0.83333333333333337</v>
      </c>
      <c r="C37" s="13"/>
      <c r="D37" s="85" t="s">
        <v>19</v>
      </c>
      <c r="E37" s="24">
        <f>G26</f>
        <v>0</v>
      </c>
      <c r="F37" s="92">
        <f>((F30*E37)*24)*0.5</f>
        <v>0</v>
      </c>
      <c r="G37" s="92"/>
      <c r="H37" s="120"/>
    </row>
    <row r="38" spans="1:8" s="3" customFormat="1" ht="17.25" customHeight="1">
      <c r="A38" s="8"/>
      <c r="B38" s="76" t="s">
        <v>20</v>
      </c>
      <c r="C38" s="12"/>
      <c r="D38" s="84" t="s">
        <v>47</v>
      </c>
      <c r="E38" s="23">
        <f>H26</f>
        <v>0</v>
      </c>
      <c r="F38" s="91">
        <f>(F30*E38)*24</f>
        <v>0</v>
      </c>
      <c r="G38" s="91"/>
      <c r="H38" s="119"/>
    </row>
    <row r="39" spans="1:8" s="3" customFormat="1" ht="17.25" customHeight="1" thickBot="1">
      <c r="A39" s="123"/>
      <c r="B39" s="77">
        <f>IF(D2&gt;DATE(YEAR(D2),3,20),IF(D2&lt;DATE(YEAR(D2),12,21),7 / 24,6 / 24),6 /24)</f>
        <v>0.25</v>
      </c>
      <c r="C39" s="13"/>
      <c r="D39" s="85" t="s">
        <v>22</v>
      </c>
      <c r="E39" s="24">
        <v>0</v>
      </c>
      <c r="F39" s="92">
        <f>(F30*E39)*24</f>
        <v>0</v>
      </c>
      <c r="G39" s="92"/>
      <c r="H39" s="120"/>
    </row>
    <row r="40" spans="1:8" ht="17.25" customHeight="1">
      <c r="A40" s="36" t="s">
        <v>21</v>
      </c>
      <c r="B40" s="6"/>
      <c r="C40" s="41"/>
      <c r="D40" s="189" t="s">
        <v>29</v>
      </c>
      <c r="E40" s="190">
        <f>IF(B7&lt;&gt;"",E5,IF(B10&lt;&gt;"",E8,IF(B13&lt;&gt;"",E11,IF(B16&lt;&gt;"",E14,IF(B19&lt;&gt;"",E17,IF(B22&lt;&gt;"",E20, IF(B25&lt;&gt;"",E23, 0)))))))</f>
        <v>0</v>
      </c>
      <c r="F40" s="91">
        <f>((F30*E40)*24)*0.5</f>
        <v>0</v>
      </c>
      <c r="G40" s="91"/>
      <c r="H40" s="119"/>
    </row>
    <row r="41" spans="1:8" ht="17" thickBot="1">
      <c r="A41" s="126" t="s">
        <v>23</v>
      </c>
      <c r="B41" s="124"/>
      <c r="C41" s="111"/>
      <c r="D41" s="85" t="str">
        <f>IF(E41&lt;=1, "JOURNEE CONTINUE", "JOURNEES CONTINUES")</f>
        <v>JOURNEE CONTINUE</v>
      </c>
      <c r="E41" s="193">
        <f>SUM(E21,E18,E15,E12,E9,E6, E24)/B33</f>
        <v>0</v>
      </c>
      <c r="F41" s="191"/>
      <c r="G41" s="121"/>
      <c r="H41" s="122"/>
    </row>
    <row r="42" spans="1:8" ht="17" thickBot="1">
      <c r="A42" s="125"/>
      <c r="B42" s="160">
        <f>COUNTIF(E5,"&lt;&gt;0" )+COUNTIF(E8,"&lt;&gt;0")+COUNTIF(E11,"&lt;&gt;0")+COUNTIF(E14,"&lt;&gt;0")+COUNTIF(E17,"&lt;&gt;0")+COUNTIF(E20,"&lt;&gt;0")+COUNTIF(E23,"&lt;&gt;0")</f>
        <v>0</v>
      </c>
      <c r="C42" s="158" t="s">
        <v>53</v>
      </c>
      <c r="D42" s="93" t="s">
        <v>24</v>
      </c>
      <c r="E42" s="94">
        <f>IF(B42&gt;=5,IF(E26=0/24,0/24,IF(E26&lt;35/24,35/24,E26)),E26)</f>
        <v>0</v>
      </c>
      <c r="F42" s="185">
        <f>IF(E42=0/24,0,IF(E42&lt;35/24,SUM(F31:F41),IF(E42&gt;35/24,SUM(F31:F41),F29+SUM(F35:F41))))</f>
        <v>0</v>
      </c>
      <c r="G42" s="95"/>
      <c r="H42" s="96"/>
    </row>
  </sheetData>
  <sheetProtection sheet="1" selectLockedCells="1"/>
  <printOptions horizontalCentered="1"/>
  <pageMargins left="0" right="0" top="0.15748031496062992" bottom="0.15748031496062992" header="0.11811023622047244" footer="0.11811023622047244"/>
  <pageSetup paperSize="9" scale="7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Notice</vt:lpstr>
      <vt:lpstr>1er Ass OPV</vt:lpstr>
      <vt:lpstr>2nd Ass OPV</vt:lpstr>
      <vt:lpstr>Ass OPV Adj</vt:lpstr>
      <vt:lpstr>'1er Ass OPV'!Deb</vt:lpstr>
      <vt:lpstr>'2nd Ass OPV'!Deb</vt:lpstr>
      <vt:lpstr>'Ass OPV Adj'!Deb</vt:lpstr>
      <vt:lpstr>'1er Ass OPV'!Fin</vt:lpstr>
      <vt:lpstr>'2nd Ass OPV'!Fin</vt:lpstr>
      <vt:lpstr>'Ass OPV Adj'!Fin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DUMONT / Ugo Villion / Jimmy Bourcier</dc:creator>
  <cp:keywords/>
  <dc:description/>
  <cp:lastModifiedBy>Microsoft Office User</cp:lastModifiedBy>
  <cp:revision/>
  <cp:lastPrinted>2022-02-19T19:17:32Z</cp:lastPrinted>
  <dcterms:created xsi:type="dcterms:W3CDTF">2002-09-15T20:21:11Z</dcterms:created>
  <dcterms:modified xsi:type="dcterms:W3CDTF">2024-11-08T22:58:37Z</dcterms:modified>
  <cp:category/>
  <cp:contentStatus/>
</cp:coreProperties>
</file>