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C8BC7338-2B36-F547-BC3A-79136B029629}" xr6:coauthVersionLast="36" xr6:coauthVersionMax="36" xr10:uidLastSave="{00000000-0000-0000-0000-000000000000}"/>
  <bookViews>
    <workbookView xWindow="9340" yWindow="460" windowWidth="29060" windowHeight="15740" xr2:uid="{00000000-000D-0000-FFFF-FFFF00000000}"/>
  </bookViews>
  <sheets>
    <sheet name="Notice" sheetId="9" r:id="rId1"/>
    <sheet name="1er Ass OPV" sheetId="12" r:id="rId2"/>
    <sheet name="2nd Ass OPV" sheetId="15" r:id="rId3"/>
    <sheet name="Ass OPV Adj" sheetId="14" r:id="rId4"/>
  </sheets>
  <definedNames>
    <definedName name="Deb" localSheetId="1">'1er Ass OPV'!$A$30</definedName>
    <definedName name="Deb" localSheetId="2">'2nd Ass OPV'!$A$30</definedName>
    <definedName name="Deb" localSheetId="3">'Ass OPV Adj'!$A$27</definedName>
    <definedName name="Deb">#REF!</definedName>
    <definedName name="Fin" localSheetId="1">'1er Ass OPV'!$A$32</definedName>
    <definedName name="Fin" localSheetId="2">'2nd Ass OPV'!$A$32</definedName>
    <definedName name="Fin" localSheetId="3">'Ass OPV Adj'!$A$29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B20" i="14" l="1"/>
  <c r="B23" i="14"/>
  <c r="B23" i="15"/>
  <c r="B20" i="15"/>
  <c r="B20" i="12"/>
  <c r="B23" i="12"/>
  <c r="D2" i="12" l="1"/>
  <c r="D25" i="14"/>
  <c r="D24" i="14"/>
  <c r="H23" i="14"/>
  <c r="D23" i="14"/>
  <c r="C23" i="14"/>
  <c r="D21" i="14"/>
  <c r="H20" i="14"/>
  <c r="D20" i="14"/>
  <c r="C20" i="14"/>
  <c r="D22" i="14" s="1"/>
  <c r="D19" i="14"/>
  <c r="D18" i="14"/>
  <c r="H17" i="14"/>
  <c r="H26" i="14" s="1"/>
  <c r="E35" i="14" s="1"/>
  <c r="D17" i="14"/>
  <c r="C18" i="14" s="1"/>
  <c r="C17" i="14"/>
  <c r="D16" i="14"/>
  <c r="D15" i="14"/>
  <c r="H14" i="14"/>
  <c r="D14" i="14"/>
  <c r="G17" i="14" s="1"/>
  <c r="C14" i="14"/>
  <c r="C15" i="14" s="1"/>
  <c r="D13" i="14"/>
  <c r="D12" i="14"/>
  <c r="H11" i="14"/>
  <c r="D11" i="14"/>
  <c r="C11" i="14"/>
  <c r="C12" i="14" s="1"/>
  <c r="D9" i="14"/>
  <c r="H8" i="14"/>
  <c r="D8" i="14"/>
  <c r="C8" i="14"/>
  <c r="D6" i="14"/>
  <c r="H5" i="14"/>
  <c r="D5" i="14"/>
  <c r="C5" i="14"/>
  <c r="D2" i="14"/>
  <c r="B2" i="14"/>
  <c r="F1" i="14"/>
  <c r="D1" i="14"/>
  <c r="B1" i="14"/>
  <c r="E25" i="15"/>
  <c r="D25" i="15"/>
  <c r="E22" i="15"/>
  <c r="D22" i="15"/>
  <c r="E19" i="15"/>
  <c r="D19" i="15"/>
  <c r="E16" i="15"/>
  <c r="D16" i="15"/>
  <c r="E13" i="15"/>
  <c r="D13" i="15"/>
  <c r="E10" i="15"/>
  <c r="D10" i="15"/>
  <c r="E35" i="15"/>
  <c r="D7" i="15"/>
  <c r="E19" i="12"/>
  <c r="E22" i="12"/>
  <c r="E25" i="12"/>
  <c r="D25" i="12"/>
  <c r="D22" i="12"/>
  <c r="D19" i="12"/>
  <c r="D16" i="12"/>
  <c r="E16" i="12"/>
  <c r="D13" i="12"/>
  <c r="E13" i="12"/>
  <c r="D10" i="12"/>
  <c r="E10" i="12"/>
  <c r="D7" i="12"/>
  <c r="G8" i="14" l="1"/>
  <c r="B34" i="14"/>
  <c r="D3" i="14"/>
  <c r="B36" i="14"/>
  <c r="A6" i="14"/>
  <c r="C13" i="14"/>
  <c r="E13" i="14" s="1"/>
  <c r="E12" i="14" s="1"/>
  <c r="B12" i="14" s="1"/>
  <c r="F12" i="14"/>
  <c r="F13" i="14" s="1"/>
  <c r="E23" i="14"/>
  <c r="H25" i="14" s="1"/>
  <c r="D7" i="14"/>
  <c r="E11" i="14"/>
  <c r="H13" i="14" s="1"/>
  <c r="F15" i="14"/>
  <c r="F16" i="14" s="1"/>
  <c r="B14" i="14"/>
  <c r="C16" i="14"/>
  <c r="E16" i="14" s="1"/>
  <c r="E15" i="14" s="1"/>
  <c r="B15" i="14" s="1"/>
  <c r="E14" i="14"/>
  <c r="H16" i="14" s="1"/>
  <c r="C6" i="14"/>
  <c r="C7" i="14" s="1"/>
  <c r="E7" i="14" s="1"/>
  <c r="D10" i="14"/>
  <c r="E9" i="14" s="1"/>
  <c r="B9" i="14" s="1"/>
  <c r="F9" i="14"/>
  <c r="F10" i="14" s="1"/>
  <c r="B8" i="14"/>
  <c r="C9" i="14"/>
  <c r="C10" i="14" s="1"/>
  <c r="E10" i="14" s="1"/>
  <c r="B11" i="14"/>
  <c r="F18" i="14"/>
  <c r="F19" i="14" s="1"/>
  <c r="B17" i="14"/>
  <c r="C19" i="14"/>
  <c r="E19" i="14" s="1"/>
  <c r="E18" i="14" s="1"/>
  <c r="B18" i="14" s="1"/>
  <c r="C25" i="14"/>
  <c r="E25" i="14" s="1"/>
  <c r="E24" i="14"/>
  <c r="B24" i="14" s="1"/>
  <c r="G11" i="14"/>
  <c r="C24" i="14"/>
  <c r="E8" i="14"/>
  <c r="H10" i="14" s="1"/>
  <c r="G14" i="14"/>
  <c r="G20" i="14"/>
  <c r="C21" i="14"/>
  <c r="E17" i="14"/>
  <c r="H19" i="14" s="1"/>
  <c r="G23" i="14"/>
  <c r="C6" i="12"/>
  <c r="C7" i="12" s="1"/>
  <c r="E7" i="12" s="1"/>
  <c r="E15" i="12"/>
  <c r="B15" i="12" s="1"/>
  <c r="H26" i="12"/>
  <c r="E24" i="12"/>
  <c r="B24" i="12" s="1"/>
  <c r="C25" i="12"/>
  <c r="C24" i="12"/>
  <c r="F24" i="12" s="1"/>
  <c r="F25" i="12" s="1"/>
  <c r="G23" i="12"/>
  <c r="E23" i="12"/>
  <c r="H25" i="12" s="1"/>
  <c r="C21" i="12"/>
  <c r="E20" i="12" s="1"/>
  <c r="H22" i="12" s="1"/>
  <c r="G20" i="12"/>
  <c r="H19" i="12"/>
  <c r="C19" i="12"/>
  <c r="E18" i="12" s="1"/>
  <c r="B18" i="12" s="1"/>
  <c r="F18" i="12"/>
  <c r="F19" i="12" s="1"/>
  <c r="C18" i="12"/>
  <c r="G17" i="12"/>
  <c r="E17" i="12"/>
  <c r="B17" i="12"/>
  <c r="A17" i="12"/>
  <c r="F15" i="12"/>
  <c r="F16" i="12" s="1"/>
  <c r="C15" i="12"/>
  <c r="C16" i="12" s="1"/>
  <c r="G14" i="12"/>
  <c r="B14" i="12"/>
  <c r="E12" i="12"/>
  <c r="B12" i="12" s="1"/>
  <c r="C13" i="12"/>
  <c r="C12" i="12"/>
  <c r="F12" i="12" s="1"/>
  <c r="F13" i="12" s="1"/>
  <c r="G11" i="12"/>
  <c r="E11" i="12"/>
  <c r="H13" i="12" s="1"/>
  <c r="C9" i="12"/>
  <c r="E8" i="12" s="1"/>
  <c r="H10" i="12" s="1"/>
  <c r="G8" i="12"/>
  <c r="G26" i="12" s="1"/>
  <c r="A6" i="12"/>
  <c r="A14" i="12" s="1"/>
  <c r="A5" i="12"/>
  <c r="G26" i="14" l="1"/>
  <c r="E34" i="14" s="1"/>
  <c r="E6" i="14"/>
  <c r="B6" i="14" s="1"/>
  <c r="E5" i="14"/>
  <c r="F6" i="14"/>
  <c r="F7" i="14" s="1"/>
  <c r="A7" i="12"/>
  <c r="A9" i="14"/>
  <c r="A11" i="12"/>
  <c r="A23" i="14"/>
  <c r="A12" i="14"/>
  <c r="A29" i="14"/>
  <c r="A10" i="14"/>
  <c r="F8" i="14" s="1"/>
  <c r="H7" i="14"/>
  <c r="F24" i="14"/>
  <c r="F25" i="14" s="1"/>
  <c r="A11" i="14"/>
  <c r="A7" i="14"/>
  <c r="F5" i="14" s="1"/>
  <c r="A8" i="14"/>
  <c r="B10" i="14" s="1"/>
  <c r="A17" i="14"/>
  <c r="A14" i="14"/>
  <c r="B28" i="14"/>
  <c r="A20" i="14"/>
  <c r="A5" i="14"/>
  <c r="A28" i="14"/>
  <c r="B7" i="14"/>
  <c r="F21" i="14"/>
  <c r="F22" i="14" s="1"/>
  <c r="C22" i="14"/>
  <c r="E22" i="14" s="1"/>
  <c r="E21" i="14" s="1"/>
  <c r="E20" i="14"/>
  <c r="H22" i="14" s="1"/>
  <c r="B5" i="14"/>
  <c r="E6" i="12"/>
  <c r="B5" i="12"/>
  <c r="E5" i="12"/>
  <c r="A8" i="12"/>
  <c r="C10" i="12"/>
  <c r="E9" i="12" s="1"/>
  <c r="E14" i="12"/>
  <c r="H16" i="12" s="1"/>
  <c r="A20" i="12"/>
  <c r="C22" i="12"/>
  <c r="E21" i="12" s="1"/>
  <c r="B21" i="12" s="1"/>
  <c r="B8" i="12"/>
  <c r="F9" i="12"/>
  <c r="F10" i="12" s="1"/>
  <c r="F21" i="12"/>
  <c r="F22" i="12" s="1"/>
  <c r="B7" i="12"/>
  <c r="B11" i="12"/>
  <c r="F1" i="15"/>
  <c r="B1" i="15"/>
  <c r="B6" i="12" l="1"/>
  <c r="E38" i="12"/>
  <c r="H7" i="12"/>
  <c r="G25" i="12" s="1"/>
  <c r="B29" i="12"/>
  <c r="G25" i="14"/>
  <c r="E26" i="14"/>
  <c r="E38" i="14"/>
  <c r="D38" i="14" s="1"/>
  <c r="B21" i="14"/>
  <c r="A30" i="14"/>
  <c r="B13" i="14"/>
  <c r="A13" i="14"/>
  <c r="F11" i="14" s="1"/>
  <c r="A15" i="14"/>
  <c r="B29" i="14"/>
  <c r="E29" i="14" s="1"/>
  <c r="D38" i="12"/>
  <c r="B9" i="12"/>
  <c r="E26" i="12"/>
  <c r="B16" i="14" l="1"/>
  <c r="A16" i="14"/>
  <c r="F14" i="14" s="1"/>
  <c r="A18" i="14"/>
  <c r="A31" i="14"/>
  <c r="E31" i="14"/>
  <c r="E32" i="14"/>
  <c r="E30" i="14"/>
  <c r="B34" i="12"/>
  <c r="D24" i="15"/>
  <c r="D23" i="15"/>
  <c r="D21" i="15"/>
  <c r="D20" i="15"/>
  <c r="D18" i="15"/>
  <c r="D17" i="15"/>
  <c r="D15" i="15"/>
  <c r="D14" i="15"/>
  <c r="D12" i="15"/>
  <c r="D11" i="15"/>
  <c r="D9" i="15"/>
  <c r="D8" i="15"/>
  <c r="D6" i="15"/>
  <c r="D5" i="15"/>
  <c r="H5" i="15"/>
  <c r="B2" i="15"/>
  <c r="D1" i="15"/>
  <c r="C5" i="15"/>
  <c r="C8" i="15"/>
  <c r="C11" i="15"/>
  <c r="C14" i="15"/>
  <c r="C17" i="15"/>
  <c r="F28" i="14" l="1"/>
  <c r="A19" i="14"/>
  <c r="F17" i="14" s="1"/>
  <c r="A32" i="14"/>
  <c r="B19" i="14"/>
  <c r="A21" i="14"/>
  <c r="C12" i="15"/>
  <c r="B11" i="15" s="1"/>
  <c r="E11" i="15"/>
  <c r="C18" i="15"/>
  <c r="B17" i="15" s="1"/>
  <c r="E17" i="15"/>
  <c r="C9" i="15"/>
  <c r="C10" i="15" s="1"/>
  <c r="E9" i="15" s="1"/>
  <c r="B9" i="15" s="1"/>
  <c r="E8" i="15"/>
  <c r="C15" i="15"/>
  <c r="B14" i="15" s="1"/>
  <c r="C6" i="15"/>
  <c r="B5" i="15" s="1"/>
  <c r="D3" i="12"/>
  <c r="A9" i="12" s="1"/>
  <c r="C16" i="15"/>
  <c r="E15" i="15" s="1"/>
  <c r="B15" i="15" s="1"/>
  <c r="C13" i="15"/>
  <c r="E12" i="15" s="1"/>
  <c r="B12" i="15" s="1"/>
  <c r="A12" i="12" l="1"/>
  <c r="A23" i="12"/>
  <c r="A10" i="12"/>
  <c r="F8" i="12" s="1"/>
  <c r="B10" i="12"/>
  <c r="A24" i="14"/>
  <c r="G28" i="14"/>
  <c r="A22" i="14"/>
  <c r="F20" i="14" s="1"/>
  <c r="A33" i="14"/>
  <c r="B22" i="14"/>
  <c r="B8" i="15"/>
  <c r="E14" i="15"/>
  <c r="C7" i="15"/>
  <c r="E5" i="15"/>
  <c r="B29" i="15" s="1"/>
  <c r="H23" i="15"/>
  <c r="H20" i="15"/>
  <c r="H17" i="15"/>
  <c r="H14" i="15"/>
  <c r="H11" i="15"/>
  <c r="H8" i="15"/>
  <c r="D2" i="15"/>
  <c r="E7" i="15" l="1"/>
  <c r="E6" i="15" s="1"/>
  <c r="B6" i="15" s="1"/>
  <c r="B36" i="15"/>
  <c r="B34" i="15"/>
  <c r="A13" i="12"/>
  <c r="F11" i="12" s="1"/>
  <c r="B13" i="12"/>
  <c r="A15" i="12"/>
  <c r="A34" i="14"/>
  <c r="B25" i="14"/>
  <c r="E37" i="14" s="1"/>
  <c r="A25" i="14"/>
  <c r="F23" i="14" s="1"/>
  <c r="F26" i="14" s="1"/>
  <c r="E33" i="14" s="1"/>
  <c r="D3" i="15"/>
  <c r="A18" i="12" l="1"/>
  <c r="B16" i="12"/>
  <c r="A16" i="12"/>
  <c r="F14" i="12" s="1"/>
  <c r="C23" i="15"/>
  <c r="C20" i="15"/>
  <c r="H26" i="15"/>
  <c r="E35" i="12"/>
  <c r="A21" i="12" l="1"/>
  <c r="A19" i="12"/>
  <c r="F17" i="12" s="1"/>
  <c r="B19" i="12"/>
  <c r="C21" i="15"/>
  <c r="E20" i="15" s="1"/>
  <c r="C24" i="15"/>
  <c r="E23" i="15" s="1"/>
  <c r="H25" i="15" s="1"/>
  <c r="B36" i="12"/>
  <c r="G8" i="15"/>
  <c r="G23" i="15"/>
  <c r="H16" i="15"/>
  <c r="A28" i="12"/>
  <c r="G17" i="15"/>
  <c r="H10" i="15"/>
  <c r="G11" i="15"/>
  <c r="H7" i="15"/>
  <c r="H22" i="15"/>
  <c r="F21" i="15"/>
  <c r="F22" i="15" s="1"/>
  <c r="C22" i="15"/>
  <c r="G14" i="15"/>
  <c r="G20" i="15"/>
  <c r="C19" i="15"/>
  <c r="E18" i="15" s="1"/>
  <c r="H19" i="15"/>
  <c r="A24" i="12" l="1"/>
  <c r="A22" i="12"/>
  <c r="F20" i="12" s="1"/>
  <c r="B22" i="12"/>
  <c r="C25" i="15"/>
  <c r="F24" i="15"/>
  <c r="E24" i="15"/>
  <c r="B24" i="15" s="1"/>
  <c r="E21" i="15"/>
  <c r="B18" i="15"/>
  <c r="F5" i="12"/>
  <c r="F6" i="12"/>
  <c r="F7" i="12" s="1"/>
  <c r="E29" i="12"/>
  <c r="E32" i="12"/>
  <c r="H13" i="15"/>
  <c r="G25" i="15" s="1"/>
  <c r="A6" i="15"/>
  <c r="G26" i="15"/>
  <c r="E34" i="15" s="1"/>
  <c r="E34" i="12"/>
  <c r="B25" i="12" l="1"/>
  <c r="A25" i="12"/>
  <c r="F23" i="12" s="1"/>
  <c r="E38" i="15"/>
  <c r="D38" i="15" s="1"/>
  <c r="B21" i="15"/>
  <c r="A8" i="15"/>
  <c r="E26" i="15"/>
  <c r="F26" i="12"/>
  <c r="A9" i="15"/>
  <c r="A5" i="15"/>
  <c r="B7" i="15" s="1"/>
  <c r="A29" i="12"/>
  <c r="A28" i="15"/>
  <c r="B28" i="15"/>
  <c r="A7" i="15"/>
  <c r="A14" i="15"/>
  <c r="A17" i="15"/>
  <c r="A20" i="15"/>
  <c r="A11" i="15"/>
  <c r="A30" i="12"/>
  <c r="E30" i="12"/>
  <c r="E31" i="12"/>
  <c r="E32" i="15" l="1"/>
  <c r="E31" i="15"/>
  <c r="E30" i="15"/>
  <c r="E29" i="15"/>
  <c r="A12" i="15"/>
  <c r="B10" i="15"/>
  <c r="A13" i="15"/>
  <c r="F11" i="15" s="1"/>
  <c r="A10" i="15"/>
  <c r="A15" i="15"/>
  <c r="B16" i="15" s="1"/>
  <c r="A29" i="15"/>
  <c r="A23" i="15"/>
  <c r="F8" i="15"/>
  <c r="F9" i="15"/>
  <c r="F10" i="15" s="1"/>
  <c r="F12" i="15"/>
  <c r="F13" i="15" s="1"/>
  <c r="F5" i="15"/>
  <c r="F6" i="15"/>
  <c r="F7" i="15" s="1"/>
  <c r="A16" i="15"/>
  <c r="A18" i="15"/>
  <c r="B19" i="15" s="1"/>
  <c r="A30" i="15" l="1"/>
  <c r="B13" i="15"/>
  <c r="A31" i="15"/>
  <c r="F15" i="15" s="1"/>
  <c r="F16" i="15" s="1"/>
  <c r="A21" i="15"/>
  <c r="F28" i="15"/>
  <c r="A32" i="15"/>
  <c r="F14" i="15"/>
  <c r="A19" i="15"/>
  <c r="A24" i="15" l="1"/>
  <c r="A25" i="15" s="1"/>
  <c r="F23" i="15" s="1"/>
  <c r="B22" i="15"/>
  <c r="F17" i="15"/>
  <c r="F18" i="15"/>
  <c r="F19" i="15" s="1"/>
  <c r="A33" i="15"/>
  <c r="G28" i="15"/>
  <c r="A22" i="15"/>
  <c r="F20" i="15" s="1"/>
  <c r="A34" i="15" l="1"/>
  <c r="B25" i="15"/>
  <c r="E37" i="15" s="1"/>
  <c r="F25" i="15"/>
  <c r="E37" i="12" l="1"/>
  <c r="F26" i="15"/>
  <c r="E33" i="15" s="1"/>
  <c r="B28" i="12"/>
  <c r="A31" i="12" l="1"/>
  <c r="G28" i="12"/>
  <c r="F28" i="12"/>
  <c r="A34" i="12"/>
  <c r="A32" i="12"/>
  <c r="A33" i="12"/>
  <c r="E33" i="12" l="1"/>
</calcChain>
</file>

<file path=xl/sharedStrings.xml><?xml version="1.0" encoding="utf-8"?>
<sst xmlns="http://schemas.openxmlformats.org/spreadsheetml/2006/main" count="129" uniqueCount="61">
  <si>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</si>
  <si>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</si>
  <si>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</si>
  <si>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</si>
  <si>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</si>
  <si>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</si>
  <si>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</si>
  <si>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</si>
  <si>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</si>
  <si>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</si>
  <si>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Heures de nuit :</t>
  </si>
  <si>
    <t>à</t>
  </si>
  <si>
    <t>Production Audiovisuelle</t>
  </si>
  <si>
    <t xml:space="preserve">Remplir la partie "infos" à titre indicatif: Semaine, Prod, Film etc... </t>
  </si>
  <si>
    <t>TV FILM/SERIE :</t>
  </si>
  <si>
    <t>Spécial</t>
  </si>
  <si>
    <t>Puis remplir les horaires de travail effectifs soit : arrivée sur le plateau et fermeture du camion en fin de journée.</t>
  </si>
  <si>
    <t>Il faut respecter le format  "hh:mm" par exemple 20:00 pour 20h00.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</si>
  <si>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</si>
  <si>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</si>
  <si>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</si>
  <si>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</si>
  <si>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John Smith</t>
  </si>
  <si>
    <t xml:space="preserve">bloqués et générés automatiquement par la feuille. 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</si>
  <si>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</si>
  <si>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</si>
  <si>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</si>
  <si>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La feuille prend en compte la période des heures de nuit (été ou hiver) en se basant sur les dates de la</t>
  </si>
  <si>
    <t>Heure Coupure Repas                      Début / Fin</t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</si>
  <si>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</si>
  <si>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</si>
  <si>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Heures SEMAINE</t>
  </si>
  <si>
    <t>HEURES SIMPLES</t>
  </si>
  <si>
    <t>de 35h à 43h (8h)</t>
  </si>
  <si>
    <t>HEURES SUP +25 %</t>
  </si>
  <si>
    <t>HEURES SUP +50 %</t>
  </si>
  <si>
    <t>HEURES DE TRANSPORT</t>
  </si>
  <si>
    <t>(Semaine 35h mini)</t>
  </si>
  <si>
    <t>au-delà de 43h</t>
  </si>
  <si>
    <t>HEURES SEMAINE :</t>
  </si>
  <si>
    <t>HEURES DE NUIT</t>
  </si>
  <si>
    <t>HEURES ANTICIPEES</t>
  </si>
  <si>
    <t>HEURES DIMANCHE</t>
  </si>
  <si>
    <t>HEURES JOUR FERIE</t>
  </si>
  <si>
    <t>Par exemple : saisir =DATE(2024;6;3) pour une semaine allant du 03/06/2024 au 09/06/2024.</t>
  </si>
  <si>
    <r>
      <t xml:space="preserve">Rentrer la date du début de la semaine de travail </t>
    </r>
    <r>
      <rPr>
        <b/>
        <sz val="11"/>
        <rFont val="Century Gothic"/>
        <family val="1"/>
      </rPr>
      <t>en respectant le Format "=DATE(aaaa;m;j)"</t>
    </r>
  </si>
  <si>
    <t>La feuille générera elle-même la date de fin semaine et les jours correspondants.</t>
  </si>
  <si>
    <t>Semaine N°</t>
  </si>
  <si>
    <t>"Production"</t>
  </si>
  <si>
    <t>Chaque feuille correspond à un poste différent (1er assistant OPV, 2nd assistant OPV, assistant OPV adjoint).</t>
  </si>
  <si>
    <t>"Film"</t>
  </si>
  <si>
    <t xml:space="preserve">Indiquer également les heures de début de repas, la feuille completera automatiquement l'heure de fin de repas, en ajoutant une heure. </t>
  </si>
  <si>
    <t xml:space="preserve">Si votre pause repas est réduite, vous pourrez modifier manuellement la cellule d'horaire de fin de repas en déverouillant la feuille. </t>
  </si>
  <si>
    <t>La feuille prend en compte les journées continues et les coupures réduites le cas écheant.</t>
  </si>
  <si>
    <r>
      <rPr>
        <b/>
        <sz val="11"/>
        <rFont val="Geneva"/>
        <family val="2"/>
      </rPr>
      <t>Attention : la feuille est verouillée, il ne faut remplir QUE les champs qui sont indiqués en italique</t>
    </r>
    <r>
      <rPr>
        <sz val="11"/>
        <rFont val="Geneva"/>
        <family val="2"/>
      </rPr>
      <t xml:space="preserve">, les autres sont </t>
    </r>
  </si>
  <si>
    <t>Si vous souhaitez modifier les cellules protégées, allez dans l'onglet "Révision" -&gt; "Ôtez la protection de la feuille".</t>
  </si>
  <si>
    <t>Il n'y a pas de mot de passe pour ôter la protection.</t>
  </si>
  <si>
    <t xml:space="preserve">Durée de pause en cas </t>
  </si>
  <si>
    <t>de journée continue :</t>
  </si>
  <si>
    <t>Matrice d'heures USPA "Heures seules" - AOA - Version 2.3 - MaJ du 8/11/2024</t>
  </si>
  <si>
    <t xml:space="preserve">Version 2.3 : Développement sous Excel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</si>
</sst>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9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9"/>
      <name val="Century Gothic"/>
      <family val="1"/>
    </font>
    <font>
      <sz val="20"/>
      <name val="Century Gothic"/>
      <family val="1"/>
    </font>
    <font>
      <b/>
      <sz val="20"/>
      <name val="Century Gothic"/>
      <family val="1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i/>
      <sz val="12"/>
      <name val="Geneva"/>
      <family val="2"/>
    </font>
    <font>
      <sz val="11"/>
      <color theme="0"/>
      <name val="Arial"/>
      <family val="2"/>
    </font>
    <font>
      <i/>
      <sz val="11"/>
      <name val="Century Gothic"/>
      <family val="1"/>
    </font>
    <font>
      <sz val="11"/>
      <name val="Century Gothic"/>
      <family val="1"/>
    </font>
    <font>
      <sz val="11"/>
      <name val="Geneva"/>
      <family val="2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b/>
      <u/>
      <sz val="9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i/>
      <sz val="11"/>
      <name val="Geneva"/>
      <family val="2"/>
    </font>
    <font>
      <b/>
      <sz val="11"/>
      <name val="Geneva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20" fontId="6" fillId="9" borderId="2" xfId="0" applyNumberFormat="1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15" xfId="0" applyNumberFormat="1" applyFont="1" applyFill="1" applyBorder="1" applyAlignment="1">
      <alignment horizontal="center" vertical="top" wrapText="1"/>
    </xf>
    <xf numFmtId="0" fontId="16" fillId="9" borderId="11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left" vertical="center"/>
    </xf>
    <xf numFmtId="0" fontId="17" fillId="8" borderId="14" xfId="0" applyFont="1" applyFill="1" applyBorder="1" applyAlignment="1">
      <alignment horizontal="left" vertical="top"/>
    </xf>
    <xf numFmtId="165" fontId="18" fillId="0" borderId="16" xfId="0" applyNumberFormat="1" applyFont="1" applyBorder="1"/>
    <xf numFmtId="20" fontId="21" fillId="3" borderId="2" xfId="0" applyNumberFormat="1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right" vertical="center"/>
    </xf>
    <xf numFmtId="0" fontId="23" fillId="5" borderId="6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top"/>
    </xf>
    <xf numFmtId="164" fontId="6" fillId="9" borderId="2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4" xfId="0" applyFill="1" applyBorder="1"/>
    <xf numFmtId="0" fontId="27" fillId="6" borderId="14" xfId="0" applyFont="1" applyFill="1" applyBorder="1"/>
    <xf numFmtId="0" fontId="27" fillId="0" borderId="0" xfId="0" applyFont="1"/>
    <xf numFmtId="0" fontId="28" fillId="4" borderId="14" xfId="0" applyFont="1" applyFill="1" applyBorder="1"/>
    <xf numFmtId="0" fontId="17" fillId="5" borderId="6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Alignment="1" applyProtection="1">
      <alignment horizontal="left" vertical="center"/>
      <protection locked="0"/>
    </xf>
    <xf numFmtId="0" fontId="29" fillId="0" borderId="0" xfId="0" applyFont="1"/>
    <xf numFmtId="0" fontId="29" fillId="9" borderId="14" xfId="0" applyFont="1" applyFill="1" applyBorder="1"/>
    <xf numFmtId="164" fontId="5" fillId="9" borderId="16" xfId="0" applyNumberFormat="1" applyFont="1" applyFill="1" applyBorder="1" applyAlignment="1" applyProtection="1">
      <alignment horizontal="center" vertical="center"/>
      <protection locked="0"/>
    </xf>
    <xf numFmtId="0" fontId="28" fillId="6" borderId="14" xfId="0" applyFont="1" applyFill="1" applyBorder="1"/>
    <xf numFmtId="0" fontId="27" fillId="8" borderId="14" xfId="0" applyFont="1" applyFill="1" applyBorder="1"/>
    <xf numFmtId="0" fontId="27" fillId="9" borderId="14" xfId="0" applyFont="1" applyFill="1" applyBorder="1"/>
    <xf numFmtId="0" fontId="29" fillId="9" borderId="18" xfId="0" applyFont="1" applyFill="1" applyBorder="1"/>
    <xf numFmtId="0" fontId="23" fillId="8" borderId="0" xfId="0" applyFont="1" applyFill="1" applyAlignment="1">
      <alignment horizontal="right" vertical="center"/>
    </xf>
    <xf numFmtId="0" fontId="17" fillId="8" borderId="14" xfId="0" applyFont="1" applyFill="1" applyBorder="1" applyAlignment="1">
      <alignment horizontal="left" vertical="center"/>
    </xf>
    <xf numFmtId="14" fontId="17" fillId="8" borderId="14" xfId="0" applyNumberFormat="1" applyFont="1" applyFill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 applyProtection="1">
      <alignment horizontal="center" vertical="center"/>
      <protection locked="0"/>
    </xf>
    <xf numFmtId="14" fontId="6" fillId="9" borderId="11" xfId="0" applyNumberFormat="1" applyFont="1" applyFill="1" applyBorder="1" applyAlignment="1">
      <alignment horizontal="center" vertical="center"/>
    </xf>
    <xf numFmtId="164" fontId="22" fillId="9" borderId="4" xfId="0" applyNumberFormat="1" applyFont="1" applyFill="1" applyBorder="1" applyAlignment="1" applyProtection="1">
      <alignment horizontal="center" vertical="center"/>
      <protection locked="0"/>
    </xf>
    <xf numFmtId="20" fontId="21" fillId="3" borderId="4" xfId="0" applyNumberFormat="1" applyFont="1" applyFill="1" applyBorder="1" applyAlignment="1">
      <alignment horizontal="center" vertical="center"/>
    </xf>
    <xf numFmtId="164" fontId="22" fillId="9" borderId="4" xfId="31" applyNumberFormat="1" applyFont="1" applyFill="1" applyBorder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>
      <alignment horizontal="center" vertical="center"/>
    </xf>
    <xf numFmtId="164" fontId="21" fillId="3" borderId="11" xfId="0" applyNumberFormat="1" applyFont="1" applyFill="1" applyBorder="1" applyAlignment="1">
      <alignment horizontal="center" vertical="center"/>
    </xf>
    <xf numFmtId="21" fontId="6" fillId="11" borderId="2" xfId="0" applyNumberFormat="1" applyFont="1" applyFill="1" applyBorder="1" applyAlignment="1">
      <alignment horizontal="center" vertical="center"/>
    </xf>
    <xf numFmtId="164" fontId="31" fillId="3" borderId="2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27" fillId="3" borderId="14" xfId="0" applyFont="1" applyFill="1" applyBorder="1"/>
    <xf numFmtId="0" fontId="0" fillId="3" borderId="0" xfId="0" applyFill="1"/>
    <xf numFmtId="0" fontId="29" fillId="3" borderId="14" xfId="0" applyFont="1" applyFill="1" applyBorder="1"/>
    <xf numFmtId="0" fontId="29" fillId="3" borderId="0" xfId="0" applyFont="1" applyFill="1"/>
    <xf numFmtId="0" fontId="28" fillId="3" borderId="14" xfId="0" applyFont="1" applyFill="1" applyBorder="1"/>
    <xf numFmtId="0" fontId="27" fillId="3" borderId="0" xfId="0" applyFont="1" applyFill="1"/>
    <xf numFmtId="0" fontId="26" fillId="3" borderId="11" xfId="0" applyFont="1" applyFill="1" applyBorder="1" applyAlignment="1">
      <alignment vertical="center"/>
    </xf>
    <xf numFmtId="0" fontId="25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0" fillId="3" borderId="14" xfId="0" applyFill="1" applyBorder="1" applyAlignment="1">
      <alignment vertical="center"/>
    </xf>
    <xf numFmtId="0" fontId="17" fillId="8" borderId="0" xfId="0" applyFont="1" applyFill="1" applyAlignment="1">
      <alignment horizontal="left" vertical="top"/>
    </xf>
    <xf numFmtId="0" fontId="17" fillId="8" borderId="0" xfId="0" applyFont="1" applyFill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20" fontId="5" fillId="9" borderId="2" xfId="0" applyNumberFormat="1" applyFont="1" applyFill="1" applyBorder="1" applyAlignment="1" applyProtection="1">
      <alignment horizontal="center" vertical="center"/>
      <protection locked="0"/>
    </xf>
    <xf numFmtId="0" fontId="23" fillId="5" borderId="6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center" vertical="center"/>
    </xf>
    <xf numFmtId="20" fontId="31" fillId="3" borderId="2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2" fillId="12" borderId="10" xfId="0" applyFont="1" applyFill="1" applyBorder="1" applyAlignment="1">
      <alignment horizontal="center"/>
    </xf>
    <xf numFmtId="0" fontId="33" fillId="3" borderId="12" xfId="0" applyFont="1" applyFill="1" applyBorder="1"/>
    <xf numFmtId="0" fontId="33" fillId="3" borderId="6" xfId="0" applyFont="1" applyFill="1" applyBorder="1"/>
    <xf numFmtId="0" fontId="33" fillId="3" borderId="13" xfId="0" applyFont="1" applyFill="1" applyBorder="1"/>
    <xf numFmtId="0" fontId="0" fillId="3" borderId="11" xfId="0" applyFill="1" applyBorder="1"/>
    <xf numFmtId="164" fontId="34" fillId="3" borderId="11" xfId="0" applyNumberFormat="1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vertical="center"/>
    </xf>
    <xf numFmtId="0" fontId="36" fillId="3" borderId="0" xfId="0" applyFont="1" applyFill="1" applyAlignment="1">
      <alignment vertical="center"/>
    </xf>
    <xf numFmtId="0" fontId="37" fillId="3" borderId="14" xfId="0" applyFont="1" applyFill="1" applyBorder="1" applyAlignment="1">
      <alignment vertical="center"/>
    </xf>
    <xf numFmtId="0" fontId="36" fillId="8" borderId="11" xfId="0" applyFont="1" applyFill="1" applyBorder="1" applyAlignment="1">
      <alignment vertical="center"/>
    </xf>
    <xf numFmtId="0" fontId="36" fillId="8" borderId="0" xfId="0" applyFont="1" applyFill="1" applyAlignment="1">
      <alignment vertical="center"/>
    </xf>
    <xf numFmtId="0" fontId="36" fillId="8" borderId="14" xfId="0" applyFont="1" applyFill="1" applyBorder="1" applyAlignment="1">
      <alignment vertical="center"/>
    </xf>
    <xf numFmtId="0" fontId="36" fillId="3" borderId="11" xfId="0" applyFont="1" applyFill="1" applyBorder="1" applyAlignment="1">
      <alignment vertical="center"/>
    </xf>
    <xf numFmtId="0" fontId="36" fillId="3" borderId="14" xfId="0" applyFont="1" applyFill="1" applyBorder="1" applyAlignment="1">
      <alignment vertical="center"/>
    </xf>
    <xf numFmtId="0" fontId="36" fillId="9" borderId="11" xfId="0" applyFont="1" applyFill="1" applyBorder="1" applyAlignment="1">
      <alignment vertical="center"/>
    </xf>
    <xf numFmtId="0" fontId="39" fillId="6" borderId="11" xfId="0" applyFont="1" applyFill="1" applyBorder="1" applyAlignment="1">
      <alignment vertical="center"/>
    </xf>
    <xf numFmtId="0" fontId="40" fillId="6" borderId="0" xfId="0" applyFont="1" applyFill="1" applyAlignment="1">
      <alignment vertical="center"/>
    </xf>
    <xf numFmtId="0" fontId="40" fillId="6" borderId="14" xfId="0" applyFont="1" applyFill="1" applyBorder="1" applyAlignment="1">
      <alignment vertical="center"/>
    </xf>
    <xf numFmtId="0" fontId="39" fillId="3" borderId="11" xfId="0" applyFont="1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40" fillId="3" borderId="14" xfId="0" applyFont="1" applyFill="1" applyBorder="1" applyAlignment="1">
      <alignment vertical="center"/>
    </xf>
    <xf numFmtId="0" fontId="42" fillId="9" borderId="0" xfId="0" applyFont="1" applyFill="1" applyAlignment="1">
      <alignment vertical="center"/>
    </xf>
    <xf numFmtId="0" fontId="42" fillId="9" borderId="14" xfId="0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0" fontId="2" fillId="0" borderId="12" xfId="0" applyFont="1" applyBorder="1"/>
    <xf numFmtId="0" fontId="2" fillId="3" borderId="13" xfId="0" applyFont="1" applyFill="1" applyBorder="1" applyAlignment="1">
      <alignment vertical="center"/>
    </xf>
    <xf numFmtId="164" fontId="18" fillId="3" borderId="0" xfId="0" applyNumberFormat="1" applyFont="1" applyFill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164" fontId="5" fillId="3" borderId="21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right" vertical="center"/>
    </xf>
    <xf numFmtId="164" fontId="7" fillId="2" borderId="22" xfId="0" applyNumberFormat="1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2" borderId="2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1" fillId="3" borderId="0" xfId="0" applyFont="1" applyFill="1" applyAlignment="1">
      <alignment horizontal="center"/>
    </xf>
    <xf numFmtId="0" fontId="1" fillId="3" borderId="11" xfId="0" applyFont="1" applyFill="1" applyBorder="1"/>
    <xf numFmtId="0" fontId="1" fillId="3" borderId="0" xfId="0" applyFont="1" applyFill="1"/>
    <xf numFmtId="0" fontId="1" fillId="3" borderId="14" xfId="0" applyFont="1" applyFill="1" applyBorder="1"/>
    <xf numFmtId="0" fontId="43" fillId="6" borderId="25" xfId="0" applyFont="1" applyFill="1" applyBorder="1" applyAlignment="1">
      <alignment vertical="center"/>
    </xf>
    <xf numFmtId="0" fontId="44" fillId="6" borderId="26" xfId="0" applyFont="1" applyFill="1" applyBorder="1" applyAlignment="1">
      <alignment horizontal="right" vertical="center"/>
    </xf>
    <xf numFmtId="0" fontId="45" fillId="13" borderId="27" xfId="0" applyFont="1" applyFill="1" applyBorder="1" applyAlignment="1">
      <alignment horizontal="left" vertical="center"/>
    </xf>
    <xf numFmtId="0" fontId="44" fillId="13" borderId="14" xfId="0" applyFont="1" applyFill="1" applyBorder="1" applyAlignment="1">
      <alignment horizontal="right" vertical="center"/>
    </xf>
    <xf numFmtId="0" fontId="45" fillId="6" borderId="27" xfId="0" applyFont="1" applyFill="1" applyBorder="1" applyAlignment="1">
      <alignment horizontal="left" vertical="center"/>
    </xf>
    <xf numFmtId="0" fontId="44" fillId="6" borderId="14" xfId="0" applyFont="1" applyFill="1" applyBorder="1" applyAlignment="1">
      <alignment horizontal="right" vertical="center"/>
    </xf>
    <xf numFmtId="0" fontId="46" fillId="10" borderId="27" xfId="0" applyFont="1" applyFill="1" applyBorder="1" applyAlignment="1">
      <alignment vertical="center"/>
    </xf>
    <xf numFmtId="49" fontId="4" fillId="14" borderId="27" xfId="0" applyNumberFormat="1" applyFont="1" applyFill="1" applyBorder="1" applyAlignment="1">
      <alignment vertical="center"/>
    </xf>
    <xf numFmtId="0" fontId="11" fillId="14" borderId="14" xfId="0" applyFont="1" applyFill="1" applyBorder="1" applyAlignment="1">
      <alignment horizontal="right" vertical="center"/>
    </xf>
    <xf numFmtId="49" fontId="4" fillId="10" borderId="27" xfId="0" applyNumberFormat="1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0" fontId="11" fillId="4" borderId="19" xfId="0" applyFont="1" applyFill="1" applyBorder="1" applyAlignment="1">
      <alignment horizontal="right" vertical="center"/>
    </xf>
    <xf numFmtId="164" fontId="6" fillId="6" borderId="3" xfId="0" applyNumberFormat="1" applyFont="1" applyFill="1" applyBorder="1" applyAlignment="1">
      <alignment horizontal="center" vertical="center"/>
    </xf>
    <xf numFmtId="164" fontId="6" fillId="13" borderId="4" xfId="0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164" fontId="6" fillId="14" borderId="4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8" fillId="3" borderId="0" xfId="0" applyFont="1" applyFill="1"/>
    <xf numFmtId="0" fontId="1" fillId="3" borderId="19" xfId="0" applyFont="1" applyFill="1" applyBorder="1" applyAlignment="1">
      <alignment horizontal="center" vertical="center"/>
    </xf>
    <xf numFmtId="164" fontId="18" fillId="3" borderId="11" xfId="0" applyNumberFormat="1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vertical="center"/>
    </xf>
    <xf numFmtId="0" fontId="12" fillId="3" borderId="25" xfId="0" applyFont="1" applyFill="1" applyBorder="1" applyAlignment="1">
      <alignment horizontal="center" vertical="center"/>
    </xf>
    <xf numFmtId="164" fontId="13" fillId="7" borderId="27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164" fontId="13" fillId="7" borderId="28" xfId="0" applyNumberFormat="1" applyFont="1" applyFill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47" fillId="3" borderId="11" xfId="0" applyFont="1" applyFill="1" applyBorder="1" applyAlignment="1">
      <alignment vertical="center"/>
    </xf>
    <xf numFmtId="0" fontId="47" fillId="3" borderId="0" xfId="0" applyFont="1" applyFill="1" applyAlignment="1">
      <alignment vertical="center"/>
    </xf>
    <xf numFmtId="0" fontId="47" fillId="3" borderId="10" xfId="0" applyFont="1" applyFill="1" applyBorder="1" applyAlignment="1">
      <alignment vertical="center"/>
    </xf>
    <xf numFmtId="0" fontId="47" fillId="3" borderId="9" xfId="0" applyFont="1" applyFill="1" applyBorder="1" applyAlignment="1">
      <alignment vertical="center"/>
    </xf>
    <xf numFmtId="0" fontId="37" fillId="3" borderId="9" xfId="0" applyFont="1" applyFill="1" applyBorder="1" applyAlignment="1">
      <alignment vertical="center"/>
    </xf>
    <xf numFmtId="0" fontId="37" fillId="3" borderId="18" xfId="0" applyFont="1" applyFill="1" applyBorder="1" applyAlignment="1">
      <alignment vertical="center"/>
    </xf>
    <xf numFmtId="14" fontId="17" fillId="8" borderId="17" xfId="0" applyNumberFormat="1" applyFont="1" applyFill="1" applyBorder="1" applyAlignment="1">
      <alignment horizontal="center" vertical="center" wrapText="1"/>
    </xf>
    <xf numFmtId="164" fontId="5" fillId="9" borderId="16" xfId="0" applyNumberFormat="1" applyFont="1" applyFill="1" applyBorder="1" applyAlignment="1">
      <alignment horizontal="center" vertical="center"/>
    </xf>
    <xf numFmtId="165" fontId="5" fillId="9" borderId="16" xfId="0" applyNumberFormat="1" applyFont="1" applyFill="1" applyBorder="1" applyAlignment="1">
      <alignment horizontal="center" vertical="center"/>
    </xf>
    <xf numFmtId="20" fontId="5" fillId="9" borderId="16" xfId="0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46" fillId="10" borderId="29" xfId="0" applyFont="1" applyFill="1" applyBorder="1" applyAlignment="1">
      <alignment vertical="center"/>
    </xf>
    <xf numFmtId="0" fontId="11" fillId="10" borderId="13" xfId="0" applyFont="1" applyFill="1" applyBorder="1" applyAlignment="1">
      <alignment horizontal="right" vertical="center"/>
    </xf>
    <xf numFmtId="164" fontId="6" fillId="10" borderId="30" xfId="0" applyNumberFormat="1" applyFont="1" applyFill="1" applyBorder="1" applyAlignment="1">
      <alignment horizontal="center" vertical="center"/>
    </xf>
    <xf numFmtId="20" fontId="5" fillId="9" borderId="2" xfId="0" applyNumberFormat="1" applyFont="1" applyFill="1" applyBorder="1" applyAlignment="1" applyProtection="1">
      <alignment horizontal="center" vertical="center"/>
    </xf>
    <xf numFmtId="164" fontId="31" fillId="9" borderId="2" xfId="0" applyNumberFormat="1" applyFont="1" applyFill="1" applyBorder="1" applyAlignment="1">
      <alignment horizontal="center" vertical="center"/>
    </xf>
    <xf numFmtId="165" fontId="1" fillId="9" borderId="0" xfId="0" applyNumberFormat="1" applyFont="1" applyFill="1" applyAlignment="1">
      <alignment horizontal="center"/>
    </xf>
    <xf numFmtId="20" fontId="6" fillId="3" borderId="2" xfId="0" applyNumberFormat="1" applyFont="1" applyFill="1" applyBorder="1" applyAlignment="1">
      <alignment horizontal="center" vertical="center"/>
    </xf>
    <xf numFmtId="164" fontId="6" fillId="9" borderId="0" xfId="0" applyNumberFormat="1" applyFont="1" applyFill="1" applyAlignment="1">
      <alignment horizontal="center"/>
    </xf>
    <xf numFmtId="0" fontId="11" fillId="10" borderId="0" xfId="0" applyFont="1" applyFill="1" applyBorder="1" applyAlignment="1">
      <alignment horizontal="right" vertical="center"/>
    </xf>
    <xf numFmtId="0" fontId="11" fillId="14" borderId="0" xfId="0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horizontal="right"/>
    </xf>
    <xf numFmtId="0" fontId="11" fillId="14" borderId="5" xfId="0" applyFont="1" applyFill="1" applyBorder="1" applyAlignment="1">
      <alignment horizontal="right" vertical="center"/>
    </xf>
    <xf numFmtId="164" fontId="6" fillId="10" borderId="31" xfId="0" applyNumberFormat="1" applyFont="1" applyFill="1" applyBorder="1" applyAlignment="1">
      <alignment horizontal="center" vertical="center"/>
    </xf>
    <xf numFmtId="164" fontId="6" fillId="14" borderId="31" xfId="0" applyNumberFormat="1" applyFont="1" applyFill="1" applyBorder="1" applyAlignment="1">
      <alignment horizontal="center" vertical="center"/>
    </xf>
    <xf numFmtId="164" fontId="6" fillId="10" borderId="31" xfId="0" applyNumberFormat="1" applyFont="1" applyFill="1" applyBorder="1" applyAlignment="1">
      <alignment horizontal="center"/>
    </xf>
    <xf numFmtId="0" fontId="6" fillId="14" borderId="8" xfId="0" applyNumberFormat="1" applyFont="1" applyFill="1" applyBorder="1" applyAlignment="1">
      <alignment horizontal="center" vertical="center"/>
    </xf>
    <xf numFmtId="0" fontId="37" fillId="9" borderId="11" xfId="0" applyFont="1" applyFill="1" applyBorder="1" applyAlignment="1">
      <alignment vertical="center"/>
    </xf>
    <xf numFmtId="0" fontId="37" fillId="9" borderId="0" xfId="0" applyFont="1" applyFill="1" applyAlignment="1">
      <alignment vertical="center"/>
    </xf>
    <xf numFmtId="0" fontId="37" fillId="9" borderId="14" xfId="0" applyFont="1" applyFill="1" applyBorder="1" applyAlignment="1">
      <alignment vertical="center"/>
    </xf>
    <xf numFmtId="0" fontId="48" fillId="9" borderId="11" xfId="0" applyFont="1" applyFill="1" applyBorder="1" applyAlignment="1">
      <alignment vertical="center"/>
    </xf>
    <xf numFmtId="0" fontId="48" fillId="9" borderId="0" xfId="0" applyFont="1" applyFill="1" applyAlignment="1">
      <alignment vertical="center"/>
    </xf>
    <xf numFmtId="0" fontId="2" fillId="0" borderId="14" xfId="0" applyFont="1" applyBorder="1"/>
    <xf numFmtId="0" fontId="12" fillId="3" borderId="1" xfId="0" applyFont="1" applyFill="1" applyBorder="1" applyAlignment="1">
      <alignment horizontal="center" vertical="center"/>
    </xf>
    <xf numFmtId="21" fontId="12" fillId="3" borderId="2" xfId="0" applyNumberFormat="1" applyFont="1" applyFill="1" applyBorder="1" applyAlignment="1">
      <alignment horizontal="center" vertical="center"/>
    </xf>
    <xf numFmtId="164" fontId="6" fillId="7" borderId="21" xfId="0" applyNumberFormat="1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right" vertical="center"/>
    </xf>
    <xf numFmtId="0" fontId="15" fillId="12" borderId="14" xfId="0" applyFont="1" applyFill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right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5"/>
  <sheetViews>
    <sheetView tabSelected="1" zoomScale="75" zoomScaleNormal="75" workbookViewId="0">
      <selection activeCell="M18" sqref="M18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72" t="s">
        <v>59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22"/>
    </row>
    <row r="2" spans="1:12" ht="12" customHeight="1">
      <c r="A2" s="75"/>
      <c r="B2" s="51"/>
      <c r="C2" s="51"/>
      <c r="D2" s="51"/>
      <c r="E2" s="51"/>
      <c r="F2" s="51"/>
      <c r="G2" s="51"/>
      <c r="H2" s="51"/>
      <c r="I2" s="51"/>
      <c r="J2" s="51"/>
      <c r="K2" s="23"/>
      <c r="L2" s="23"/>
    </row>
    <row r="3" spans="1:12" ht="26" customHeight="1">
      <c r="A3" s="56" t="s">
        <v>18</v>
      </c>
      <c r="B3" s="57"/>
      <c r="C3" s="57"/>
      <c r="D3" s="57"/>
      <c r="E3" s="58"/>
      <c r="F3" s="58"/>
      <c r="G3" s="58"/>
      <c r="H3" s="58"/>
      <c r="I3" s="58"/>
      <c r="J3" s="58"/>
      <c r="K3" s="59"/>
      <c r="L3" s="23"/>
    </row>
    <row r="4" spans="1:12" ht="24" customHeight="1">
      <c r="A4" s="77" t="s">
        <v>49</v>
      </c>
      <c r="B4" s="78"/>
      <c r="C4" s="78"/>
      <c r="D4" s="78"/>
      <c r="E4" s="78"/>
      <c r="F4" s="78"/>
      <c r="G4" s="78"/>
      <c r="H4" s="78"/>
      <c r="I4" s="78"/>
      <c r="J4" s="78"/>
      <c r="K4" s="79"/>
      <c r="L4" s="23"/>
    </row>
    <row r="5" spans="1:12" ht="24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79"/>
      <c r="L5" s="23"/>
    </row>
    <row r="6" spans="1:12" ht="28" customHeight="1">
      <c r="A6" s="80" t="s">
        <v>13</v>
      </c>
      <c r="B6" s="81"/>
      <c r="C6" s="81"/>
      <c r="D6" s="81"/>
      <c r="E6" s="81"/>
      <c r="F6" s="81"/>
      <c r="G6" s="81"/>
      <c r="H6" s="81"/>
      <c r="I6" s="81"/>
      <c r="J6" s="81"/>
      <c r="K6" s="82"/>
      <c r="L6" s="33"/>
    </row>
    <row r="7" spans="1:12" ht="23" customHeight="1">
      <c r="A7" s="80" t="s">
        <v>45</v>
      </c>
      <c r="B7" s="81"/>
      <c r="C7" s="81"/>
      <c r="D7" s="81"/>
      <c r="E7" s="81"/>
      <c r="F7" s="81"/>
      <c r="G7" s="81"/>
      <c r="H7" s="81"/>
      <c r="I7" s="81"/>
      <c r="J7" s="81"/>
      <c r="K7" s="82"/>
      <c r="L7" s="33"/>
    </row>
    <row r="8" spans="1:12" ht="23" customHeight="1">
      <c r="A8" s="80" t="s">
        <v>46</v>
      </c>
      <c r="B8" s="81"/>
      <c r="C8" s="81"/>
      <c r="D8" s="81"/>
      <c r="E8" s="81"/>
      <c r="F8" s="81"/>
      <c r="G8" s="81"/>
      <c r="H8" s="81"/>
      <c r="I8" s="81"/>
      <c r="J8" s="81"/>
      <c r="K8" s="82"/>
      <c r="L8" s="33"/>
    </row>
    <row r="9" spans="1:12" ht="23" customHeight="1">
      <c r="A9" s="80"/>
      <c r="B9" s="81"/>
      <c r="C9" s="81"/>
      <c r="D9" s="81"/>
      <c r="E9" s="81"/>
      <c r="F9" s="81"/>
      <c r="G9" s="81"/>
      <c r="H9" s="81"/>
      <c r="I9" s="81"/>
      <c r="J9" s="81"/>
      <c r="K9" s="82"/>
      <c r="L9" s="33"/>
    </row>
    <row r="10" spans="1:12" ht="23" customHeight="1">
      <c r="A10" s="80" t="s">
        <v>44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  <c r="L10" s="33"/>
    </row>
    <row r="11" spans="1:12" s="51" customFormat="1" ht="23" customHeight="1">
      <c r="A11" s="83"/>
      <c r="B11" s="78"/>
      <c r="C11" s="78"/>
      <c r="D11" s="78"/>
      <c r="E11" s="78"/>
      <c r="F11" s="78"/>
      <c r="G11" s="78"/>
      <c r="H11" s="78"/>
      <c r="I11" s="78"/>
      <c r="J11" s="78"/>
      <c r="K11" s="84"/>
      <c r="L11" s="50"/>
    </row>
    <row r="12" spans="1:12" ht="27" customHeight="1">
      <c r="A12" s="172" t="s">
        <v>16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4"/>
      <c r="L12" s="34"/>
    </row>
    <row r="13" spans="1:12" ht="24" customHeight="1">
      <c r="A13" s="175" t="s">
        <v>17</v>
      </c>
      <c r="B13" s="176"/>
      <c r="C13" s="176"/>
      <c r="D13" s="176"/>
      <c r="E13" s="176"/>
      <c r="F13" s="176"/>
      <c r="G13" s="176"/>
      <c r="H13" s="176"/>
      <c r="I13" s="173"/>
      <c r="J13" s="173"/>
      <c r="K13" s="174"/>
      <c r="L13" s="34"/>
    </row>
    <row r="14" spans="1:12" ht="24" customHeight="1">
      <c r="A14" s="175" t="s">
        <v>51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4"/>
      <c r="L14" s="34"/>
    </row>
    <row r="15" spans="1:12" ht="24" customHeight="1">
      <c r="A15" s="172" t="s">
        <v>52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4"/>
      <c r="L15" s="34"/>
    </row>
    <row r="16" spans="1:12" ht="24" customHeight="1">
      <c r="A16" s="172" t="s">
        <v>53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4"/>
      <c r="L16" s="34"/>
    </row>
    <row r="17" spans="1:12" ht="25" customHeight="1">
      <c r="A17" s="172"/>
      <c r="B17" s="173"/>
      <c r="C17" s="173"/>
      <c r="D17" s="173"/>
      <c r="E17" s="173"/>
      <c r="F17" s="173"/>
      <c r="G17" s="173"/>
      <c r="H17" s="173"/>
      <c r="I17" s="173"/>
      <c r="J17" s="173"/>
      <c r="K17" s="174"/>
      <c r="L17" s="34"/>
    </row>
    <row r="18" spans="1:12" ht="24" customHeight="1">
      <c r="A18" s="172" t="s">
        <v>54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4"/>
      <c r="L18" s="34"/>
    </row>
    <row r="19" spans="1:12" ht="24" customHeight="1">
      <c r="A19" s="172" t="s">
        <v>23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4"/>
      <c r="L19" s="34"/>
    </row>
    <row r="20" spans="1:12" ht="24" customHeight="1">
      <c r="A20" s="172" t="s">
        <v>55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4"/>
      <c r="L20" s="34"/>
    </row>
    <row r="21" spans="1:12" ht="24" customHeight="1">
      <c r="A21" s="172" t="s">
        <v>56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4"/>
      <c r="L21" s="34"/>
    </row>
    <row r="22" spans="1:12" s="51" customFormat="1" ht="24" customHeight="1">
      <c r="A22" s="83"/>
      <c r="B22" s="78"/>
      <c r="C22" s="78"/>
      <c r="D22" s="78"/>
      <c r="E22" s="78"/>
      <c r="F22" s="78"/>
      <c r="G22" s="78"/>
      <c r="H22" s="78"/>
      <c r="I22" s="78"/>
      <c r="J22" s="78"/>
      <c r="K22" s="84"/>
      <c r="L22" s="50"/>
    </row>
    <row r="23" spans="1:12" s="25" customFormat="1" ht="25" customHeight="1">
      <c r="A23" s="86" t="s">
        <v>27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24"/>
    </row>
    <row r="24" spans="1:12" s="25" customFormat="1" ht="25" customHeight="1">
      <c r="A24" s="86" t="s">
        <v>29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32"/>
    </row>
    <row r="25" spans="1:12" s="25" customFormat="1" ht="23" customHeight="1">
      <c r="A25" s="86" t="s">
        <v>30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2" s="25" customFormat="1" ht="23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1"/>
    </row>
    <row r="27" spans="1:12" s="25" customFormat="1" ht="23" customHeight="1">
      <c r="A27" s="85" t="s">
        <v>19</v>
      </c>
      <c r="B27" s="92"/>
      <c r="C27" s="92"/>
      <c r="D27" s="92"/>
      <c r="E27" s="92"/>
      <c r="F27" s="92"/>
      <c r="G27" s="92"/>
      <c r="H27" s="92"/>
      <c r="I27" s="92"/>
      <c r="J27" s="92"/>
      <c r="K27" s="93"/>
    </row>
    <row r="28" spans="1:12" s="55" customFormat="1" ht="25" customHeight="1">
      <c r="A28" s="85" t="s">
        <v>20</v>
      </c>
      <c r="B28" s="92"/>
      <c r="C28" s="92"/>
      <c r="D28" s="92"/>
      <c r="E28" s="92"/>
      <c r="F28" s="92"/>
      <c r="G28" s="92"/>
      <c r="H28" s="92"/>
      <c r="I28" s="92"/>
      <c r="J28" s="92"/>
      <c r="K28" s="93"/>
      <c r="L28" s="54"/>
    </row>
    <row r="29" spans="1:12" ht="25" customHeight="1">
      <c r="A29" s="83"/>
      <c r="B29" s="144"/>
      <c r="C29" s="144"/>
      <c r="D29" s="144"/>
      <c r="E29" s="144"/>
      <c r="F29" s="144"/>
      <c r="G29" s="144"/>
      <c r="H29" s="144"/>
      <c r="I29" s="144"/>
      <c r="J29" s="144"/>
      <c r="K29" s="79"/>
      <c r="L29" s="26"/>
    </row>
    <row r="30" spans="1:12" ht="25" customHeight="1">
      <c r="A30" s="145" t="s">
        <v>21</v>
      </c>
      <c r="B30" s="146"/>
      <c r="C30" s="146"/>
      <c r="D30" s="146"/>
      <c r="E30" s="146"/>
      <c r="F30" s="144"/>
      <c r="G30" s="144"/>
      <c r="H30" s="144"/>
      <c r="I30" s="144"/>
      <c r="J30" s="144"/>
      <c r="K30" s="79"/>
      <c r="L30" s="26"/>
    </row>
    <row r="31" spans="1:12" s="51" customFormat="1" ht="25" customHeight="1">
      <c r="A31" s="147" t="s">
        <v>60</v>
      </c>
      <c r="B31" s="148"/>
      <c r="C31" s="148"/>
      <c r="D31" s="148"/>
      <c r="E31" s="148"/>
      <c r="F31" s="149"/>
      <c r="G31" s="149"/>
      <c r="H31" s="149"/>
      <c r="I31" s="149"/>
      <c r="J31" s="149"/>
      <c r="K31" s="150"/>
      <c r="L31" s="54"/>
    </row>
    <row r="32" spans="1:12" s="29" customFormat="1" ht="25" customHeight="1">
      <c r="A32"/>
      <c r="B32"/>
      <c r="C32"/>
      <c r="D32"/>
      <c r="E32"/>
      <c r="F32"/>
      <c r="G32"/>
      <c r="H32"/>
      <c r="I32"/>
      <c r="J32"/>
      <c r="K32"/>
      <c r="L32" s="30"/>
    </row>
    <row r="33" spans="1:12" s="29" customFormat="1" ht="25" customHeight="1">
      <c r="A33"/>
      <c r="B33"/>
      <c r="C33"/>
      <c r="D33"/>
      <c r="E33"/>
      <c r="F33"/>
      <c r="G33"/>
      <c r="H33"/>
      <c r="I33"/>
      <c r="J33"/>
      <c r="K33"/>
      <c r="L33" s="30"/>
    </row>
    <row r="34" spans="1:12" s="53" customFormat="1" ht="25" customHeight="1">
      <c r="A34"/>
      <c r="B34"/>
      <c r="C34"/>
      <c r="D34"/>
      <c r="E34"/>
      <c r="F34"/>
      <c r="G34"/>
      <c r="H34"/>
      <c r="I34"/>
      <c r="J34"/>
      <c r="K34"/>
      <c r="L34" s="52"/>
    </row>
    <row r="35" spans="1:12" s="29" customFormat="1" ht="25" customHeight="1">
      <c r="A35"/>
      <c r="B35"/>
      <c r="C35"/>
      <c r="D35"/>
      <c r="E35"/>
      <c r="F35"/>
      <c r="G35"/>
      <c r="H35"/>
      <c r="I35"/>
      <c r="J35"/>
      <c r="K35"/>
      <c r="L35" s="35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" right="0" top="0.15748031496062992" bottom="0.15748031496062992" header="0.11811023622047244" footer="0.1181102362204724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41"/>
  <sheetViews>
    <sheetView topLeftCell="A3" zoomScale="75" zoomScaleNormal="75" workbookViewId="0">
      <selection activeCell="D21" sqref="D2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7" t="s">
        <v>48</v>
      </c>
      <c r="C1" s="64"/>
      <c r="D1" s="39" t="s">
        <v>47</v>
      </c>
      <c r="E1" s="18" t="s">
        <v>1</v>
      </c>
      <c r="F1" s="27" t="s">
        <v>2</v>
      </c>
      <c r="G1" s="62"/>
      <c r="H1" s="13"/>
    </row>
    <row r="2" spans="1:8" ht="20" customHeight="1">
      <c r="A2" s="19" t="s">
        <v>14</v>
      </c>
      <c r="B2" s="28" t="s">
        <v>50</v>
      </c>
      <c r="C2" s="36" t="s">
        <v>24</v>
      </c>
      <c r="D2" s="38">
        <f>DATE(2024,1,1)</f>
        <v>43830</v>
      </c>
      <c r="E2" s="36" t="s">
        <v>3</v>
      </c>
      <c r="F2" s="28" t="s">
        <v>22</v>
      </c>
      <c r="G2" s="61"/>
      <c r="H2" s="37"/>
    </row>
    <row r="3" spans="1:8" ht="20" customHeight="1" thickBot="1">
      <c r="A3" s="19"/>
      <c r="B3" s="61"/>
      <c r="C3" s="36" t="s">
        <v>25</v>
      </c>
      <c r="D3" s="151">
        <f>D2+DAY(5)</f>
        <v>43836</v>
      </c>
      <c r="E3" s="20"/>
      <c r="F3" s="60"/>
      <c r="G3" s="60"/>
      <c r="H3" s="14"/>
    </row>
    <row r="4" spans="1:8" s="3" customFormat="1" ht="46.5" customHeight="1">
      <c r="A4" s="7" t="s">
        <v>4</v>
      </c>
      <c r="B4" s="8" t="s">
        <v>15</v>
      </c>
      <c r="C4" s="8" t="s">
        <v>28</v>
      </c>
      <c r="D4" s="10" t="s">
        <v>5</v>
      </c>
      <c r="E4" s="8" t="s">
        <v>6</v>
      </c>
      <c r="F4" s="9" t="s">
        <v>7</v>
      </c>
      <c r="G4" s="10" t="s">
        <v>26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3">
        <v>0</v>
      </c>
      <c r="D5" s="41">
        <v>0</v>
      </c>
      <c r="E5" s="21">
        <f>IF(D5= " ",0/24,((MOD(D6-D5,1))-MOD(C6-C5,1)))</f>
        <v>0</v>
      </c>
      <c r="F5" s="2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21">
        <v>0</v>
      </c>
      <c r="H5" s="31">
        <v>0</v>
      </c>
    </row>
    <row r="6" spans="1:8" ht="17.25" customHeight="1">
      <c r="A6" s="40">
        <f>D2</f>
        <v>43830</v>
      </c>
      <c r="B6" s="46" t="str">
        <f>IF(E6="", "","(journée continue)")</f>
        <v/>
      </c>
      <c r="C6" s="159">
        <f>IF(OR(AND(D5=0/24, D6=0/24,), AND(C5=0/24, D6=0/24), (MOD(D6-C5,24) =D6)), 0/24, C5+1/24)</f>
        <v>0</v>
      </c>
      <c r="D6" s="41">
        <v>0</v>
      </c>
      <c r="E6" s="160" t="str">
        <f>IF(SUM(D7,E7)=0/24,"",SUM(D7,E7))</f>
        <v/>
      </c>
      <c r="F6" s="2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61"/>
      <c r="H6" s="152"/>
    </row>
    <row r="7" spans="1:8" ht="17.25" customHeight="1">
      <c r="A7" s="45">
        <f>IF(A6="", Deb, IF(A6&gt;DATE(YEAR(A6),3,20),IF(A6&lt;DATE(YEAR(A6),12,21),22 / 24,20 / 24),20 /24))</f>
        <v>0.83333333333333337</v>
      </c>
      <c r="B7" s="44" t="str">
        <f>IF(A6 &lt;&gt; "", IF(A5="DIMANCHE", "(majoration dimanche)", ""), "")</f>
        <v/>
      </c>
      <c r="C7" s="48">
        <f>IF(C6 = C5, (MOD(D6-D5,1)),0)</f>
        <v>0</v>
      </c>
      <c r="D7" s="42">
        <f>IF(C5=0 / 24,0,IF((MOD(C5-D5,1))&lt;6 / 24,0,B32))</f>
        <v>0</v>
      </c>
      <c r="E7" s="16">
        <f>IF(C7&gt;=(6 / 24),B32,(IF(C5 = C6, IF(MOD(D6-D5, 1) &lt;6/24, 0, B32), IF((MOD(D6-C6,1))&lt;6/24,0,B32))))</f>
        <v>0</v>
      </c>
      <c r="F7" s="6" t="str">
        <f>IF(OR(F6=" ", F6=0)," ","(minoration repas nuit)")</f>
        <v xml:space="preserve"> </v>
      </c>
      <c r="G7" s="162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49" t="str">
        <f>IF(OR(C8&lt;&gt;0, C9 &lt;&gt;0,), IF(MOD(C9-C8, 1) &lt; 0.041, "(pause réduite)", ""), "")</f>
        <v/>
      </c>
      <c r="C8" s="63">
        <v>0</v>
      </c>
      <c r="D8" s="41">
        <v>0</v>
      </c>
      <c r="E8" s="21">
        <f>IF(D8= " ",0/24,((MOD(D9-D8,1))-MOD(C9-C8,1)))</f>
        <v>0</v>
      </c>
      <c r="F8" s="2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21">
        <f>IF(AND(D5=0, D6=0), 0/24, (IF(D8=0/24,0/24,IF((MOD(D8-D6,1))&gt;=11/24,0/24,11/24-(MOD(D8-D6,1))))))</f>
        <v>0</v>
      </c>
      <c r="H8" s="31">
        <v>0</v>
      </c>
    </row>
    <row r="9" spans="1:8" ht="17.25" customHeight="1">
      <c r="A9" s="40">
        <f>IF(AND(DATE(YEAR(D2),MONTH(D2),DAY(D2))&lt;DATE(YEAR(D3),MONTH(D3),DAY(D3)), A6&lt;&gt;""),DATE(YEAR(D2),MONTH(D2),DAY(D2)+1),"")</f>
        <v>43831</v>
      </c>
      <c r="B9" s="5" t="str">
        <f>IF(E9="", "","(journée continue)")</f>
        <v/>
      </c>
      <c r="C9" s="159">
        <f>IF(OR(AND(D8=0/24, D9=0/24,), AND(C8=0/24, D9=0/24), (MOD(D9-C8,24) =D9)), 0/24, C8+1/24)</f>
        <v>0</v>
      </c>
      <c r="D9" s="41">
        <v>0</v>
      </c>
      <c r="E9" s="160" t="str">
        <f>IF(SUM(D10,E10)=0/24,"",SUM(D10,E10))</f>
        <v/>
      </c>
      <c r="F9" s="2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61"/>
      <c r="H9" s="153"/>
    </row>
    <row r="10" spans="1:8" ht="17.25" customHeight="1">
      <c r="A10" s="45">
        <f>IF(A9="", Deb, IF(A9&gt;DATE(YEAR(A9),3,20),IF(A9&lt;DATE(YEAR(A9),12,21),22 / 24,20 / 24),20 /24))</f>
        <v>0.83333333333333337</v>
      </c>
      <c r="B10" s="44" t="str">
        <f>IF(A9 &lt;&gt; "", IF(A8="DIMANCHE", "(majoration dimanche)", ""), "")</f>
        <v/>
      </c>
      <c r="C10" s="48">
        <f>IF(C9 = C8, (MOD(D9-D8,1)),0)</f>
        <v>0</v>
      </c>
      <c r="D10" s="42">
        <f>IF(C8=0 / 24,0,IF((MOD(C8-D8,1))&lt;6 / 24,0,B32))</f>
        <v>0</v>
      </c>
      <c r="E10" s="48">
        <f>IF(C10&gt;=(6 / 24),B32,(IF(C8 = C9, IF(MOD(D9-D8, 1) &lt;6 /24, 0, B32), IF((MOD(D9-C9,1))&lt;6/24,0,B32))))</f>
        <v>0</v>
      </c>
      <c r="F10" s="6" t="str">
        <f>IF(F9=" "," ","(minoration repas nuit)")</f>
        <v xml:space="preserve"> </v>
      </c>
      <c r="G10" s="162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49" t="str">
        <f>IF(OR(C11&lt;&gt;0, C12 &lt;&gt;0,), IF(MOD(C12-C11, 1) &lt; 0.041, "(pause réduite)", ""), "")</f>
        <v/>
      </c>
      <c r="C11" s="63">
        <v>0</v>
      </c>
      <c r="D11" s="41">
        <v>0</v>
      </c>
      <c r="E11" s="21">
        <f>IF(D11= " ",0/24,((MOD(D12-D11,1))-MOD(C12-C11,1)))</f>
        <v>0</v>
      </c>
      <c r="F11" s="2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163">
        <f>IF(AND(D8=0, D9=0), 0/24, (IF(D11=0/24,0/24,IF((MOD(D11-D9,1))&gt;=11/24,0/24,11/24-(MOD(D11-D9,1))))))</f>
        <v>0</v>
      </c>
      <c r="H11" s="31">
        <v>0</v>
      </c>
    </row>
    <row r="12" spans="1:8" ht="17.25" customHeight="1">
      <c r="A12" s="40">
        <f>IF(AND(DATE(YEAR(A9),MONTH(A9),DAY(A9))&lt;DATE(YEAR(D3),MONTH(D3),DAY(D3)), A9&lt;&gt;""),DATE(YEAR(D2),MONTH(D2),DAY(D2)+2), "")</f>
        <v>43832</v>
      </c>
      <c r="B12" s="5" t="str">
        <f>IF(E12="", "","(journée continue)")</f>
        <v/>
      </c>
      <c r="C12" s="159">
        <f>IF(OR(AND(D11=0/24, D12=0/24,), AND(C11=0/24, D12=0/24), (MOD(D12-C11,24) =D12)), 0/24, C11+1/24)</f>
        <v>0</v>
      </c>
      <c r="D12" s="43">
        <v>0</v>
      </c>
      <c r="E12" s="160" t="str">
        <f>IF(SUM(D13,E13)=0/24,"",SUM(D13,E13))</f>
        <v/>
      </c>
      <c r="F12" s="2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21"/>
      <c r="H12" s="154"/>
    </row>
    <row r="13" spans="1:8" ht="17.25" customHeight="1">
      <c r="A13" s="45">
        <f>IF(A12="", Deb, IF(A12&gt;DATE(YEAR(A12),3,20),IF(A12&lt;DATE(YEAR(A12),12,21),22 / 24,20 / 24),20 /24))</f>
        <v>0.83333333333333337</v>
      </c>
      <c r="B13" s="6" t="str">
        <f>IF(A12 &lt;&gt; "", IF(A11="DIMANCHE", "(majoration dimanche)", ""), "")</f>
        <v/>
      </c>
      <c r="C13" s="48">
        <f>IF(C12 = C11, (MOD(D12-D11,1)),0)</f>
        <v>0</v>
      </c>
      <c r="D13" s="42">
        <f>IF(C11=0 / 24,0,IF((MOD(C11-D11,1))&lt;6 / 24,0, B32))</f>
        <v>0</v>
      </c>
      <c r="E13" s="16">
        <f>IF(C13&gt;=(6 / 24),B32,(IF(C11 = C12, IF(MOD(D12-D11, 1) &lt;6/24, 0, B32), IF((MOD(D12-C12,1))&lt;6/24,0,B32))))</f>
        <v>0</v>
      </c>
      <c r="F13" s="6" t="str">
        <f>IF(F12=" "," ","(minoration repas nuit)")</f>
        <v xml:space="preserve"> </v>
      </c>
      <c r="G13" s="162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49" t="str">
        <f>IF(OR(C14&lt;&gt;0, C15 &lt;&gt;0,), IF(MOD(C15-C14, 1) &lt; 0.041, "(pause réduite)", ""), "")</f>
        <v/>
      </c>
      <c r="C14" s="63">
        <v>0</v>
      </c>
      <c r="D14" s="41">
        <v>0</v>
      </c>
      <c r="E14" s="21">
        <f>IF(D14= " ",0/24,((MOD(D15-D14,1))-MOD(C15-C14,1)))</f>
        <v>0</v>
      </c>
      <c r="F14" s="2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1">
        <v>0</v>
      </c>
    </row>
    <row r="15" spans="1:8" ht="17.25" customHeight="1">
      <c r="A15" s="40">
        <f>IF(A12&lt;&gt; "", (IF(DATE(YEAR(A12),MONTH(A12),DAY(A12))&lt;DATE(YEAR(D3),MONTH(D3),DAY(D3)),DATE(YEAR(D2),MONTH(D2),(DAY(D2)+3)), "")), "")</f>
        <v>43833</v>
      </c>
      <c r="B15" s="5" t="str">
        <f>IF(E15="", "","(journée continue)")</f>
        <v/>
      </c>
      <c r="C15" s="159">
        <f>IF(OR(AND(D14=0/24, D15=0/24,), AND(C14=0/24, D15=0/24), (MOD(D15-C14,24) =D15)), 0/24, C14+1/24)</f>
        <v>0</v>
      </c>
      <c r="D15" s="41">
        <v>0</v>
      </c>
      <c r="E15" s="160" t="str">
        <f>IF(SUM(D16,E16)=0/24,"",SUM(D16,E16))</f>
        <v/>
      </c>
      <c r="F15" s="2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61"/>
      <c r="H15" s="153"/>
    </row>
    <row r="16" spans="1:8" ht="17.25" customHeight="1">
      <c r="A16" s="45">
        <f>IF(A15="", Deb, IF(A15&gt;DATE(YEAR(A15),3,20),IF(A15&lt;DATE(YEAR(A15),12,21),22 / 24,20 / 24),20 /24))</f>
        <v>0.83333333333333337</v>
      </c>
      <c r="B16" s="6" t="str">
        <f>IF(A15 &lt;&gt; "", IF(A14="DIMANCHE", "(majoration dimanche)", ""), "")</f>
        <v/>
      </c>
      <c r="C16" s="48">
        <f>IF(C14 = C15, (MOD(D15-D14,1)),0)</f>
        <v>0</v>
      </c>
      <c r="D16" s="42">
        <f>IF(C14=0 / 24,0,IF((MOD(C14-D14,1))&lt;6 / 24,0,B32))</f>
        <v>0</v>
      </c>
      <c r="E16" s="16">
        <f>IF(C16&gt;=(6 / 24),B32,(IF(C15 = C14, IF(MOD(D15-D14, 1) &lt;6/24, 0, B32), IF((MOD(D15-C15,1))&lt;6/24,0,B32))))</f>
        <v>0</v>
      </c>
      <c r="F16" s="6" t="str">
        <f>IF(F15=" "," ","(minoration repas nuit)")</f>
        <v xml:space="preserve"> </v>
      </c>
      <c r="G16" s="162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49" t="str">
        <f>IF(OR(C17&lt;&gt;0, C18 &lt;&gt;0,), IF(MOD(C18-C17, 1) &lt; 0.041, "(pause réduite)", ""), "")</f>
        <v/>
      </c>
      <c r="C17" s="63">
        <v>0</v>
      </c>
      <c r="D17" s="41">
        <v>0</v>
      </c>
      <c r="E17" s="21">
        <f>IF(D17=" ",0/24,((MOD(D18-D17,1))-MOD(C18-C17,1)))</f>
        <v>0</v>
      </c>
      <c r="F17" s="2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21">
        <f>IF(AND(D14=0, D15=0), 0/24,(IF(D17=0/24,0/24,IF((MOD(D17-D15,1))&gt;= 11/24,0/24,11/24-(MOD(D17-D15,1))))))</f>
        <v>0</v>
      </c>
      <c r="H17" s="31">
        <v>0</v>
      </c>
    </row>
    <row r="18" spans="1:8" ht="17.25" customHeight="1">
      <c r="A18" s="40">
        <f>IF(A15&lt;&gt; "", (IF(DATE(YEAR(A15),MONTH(A15),DAY(A15))&lt;DATE(YEAR(D3),MONTH(D3),DAY(D3)),DATE(YEAR(D2),MONTH(D2),(DAY(D2)+4)), "")), "")</f>
        <v>43834</v>
      </c>
      <c r="B18" s="5" t="str">
        <f>IF(E18="", "","(journée continue)")</f>
        <v/>
      </c>
      <c r="C18" s="159">
        <f>IF(OR(AND(D17=0/24, D18=0/24,), AND(C17=0/24, D18=0/24), (MOD(D18-C17,24) =D18)), 0/24, C17+1/24)</f>
        <v>0</v>
      </c>
      <c r="D18" s="43">
        <v>0</v>
      </c>
      <c r="E18" s="160" t="str">
        <f>IF(SUM(D19,E19)=0/24,"",SUM(D19,E19))</f>
        <v/>
      </c>
      <c r="F18" s="2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61"/>
      <c r="H18" s="153"/>
    </row>
    <row r="19" spans="1:8" ht="17.25" customHeight="1">
      <c r="A19" s="45">
        <f>IF(A18="", Deb, IF(A18&gt;DATE(YEAR(A18),3,20),IF(A18&lt;DATE(YEAR(A18),12,21),22 / 24,20 / 24),20 /24))</f>
        <v>0.83333333333333337</v>
      </c>
      <c r="B19" s="6" t="str">
        <f>IF(A18 &lt;&gt; "", IF(A17="DIMANCHE", "(majoration dimanche)", ""), "")</f>
        <v/>
      </c>
      <c r="C19" s="48">
        <f>IF(C17 = C18, (MOD(D18-D17,1)),0)</f>
        <v>0</v>
      </c>
      <c r="D19" s="42">
        <f>IF(C17=0 / 24,0,IF((MOD(C17-D17,1))&lt;6 / 24,0,B32))</f>
        <v>0</v>
      </c>
      <c r="E19" s="16">
        <f>IF(C19&gt;=(6 / 24),B32,(IF(C17 = C18, IF(MOD(D18-D17, 1) &lt;6/24, 0, B32), IF((MOD(D18-C18,1))&lt;6/24,0,B32))))</f>
        <v>0</v>
      </c>
      <c r="F19" s="6" t="str">
        <f>IF(F18=" "," ","(minoration repas nuit)")</f>
        <v xml:space="preserve"> </v>
      </c>
      <c r="G19" s="162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49" t="str">
        <f>IF(OR(C20&lt;&gt;0, C21 &lt;&gt;0,), IF(MOD(C21-C20, 1) &lt; 0.041, "(pause réduite)", ""), "")</f>
        <v/>
      </c>
      <c r="C20" s="63">
        <v>0</v>
      </c>
      <c r="D20" s="41">
        <v>0</v>
      </c>
      <c r="E20" s="21">
        <f>IF(D20= " ",0/24,((MOD(D21-D20,1))-MOD(C21-C20,1)))</f>
        <v>0</v>
      </c>
      <c r="F20" s="2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21">
        <f>IF(AND(D17=0, D18=0),0/24, (IF(D20=0/24,0/24,IF((MOD(D20-D18,1))&gt;= 11/24,0/24,11/24-(MOD(D20-D18,1))))))</f>
        <v>0</v>
      </c>
      <c r="H20" s="31">
        <v>0</v>
      </c>
    </row>
    <row r="21" spans="1:8" ht="17.25" customHeight="1">
      <c r="A21" s="40">
        <f>IF(A18&lt;&gt; "", (IF(DATE(YEAR(A18),MONTH(A18),DAY(A18))&lt;DATE(YEAR(D3),MONTH(D3),DAY(D3)),DATE(YEAR(D2),MONTH(D2),(DAY(D2)+5)), "")), "")</f>
        <v>43835</v>
      </c>
      <c r="B21" s="5" t="str">
        <f>IF(E21="", "","(journée continue)")</f>
        <v/>
      </c>
      <c r="C21" s="159">
        <f>IF(OR(AND(D20=0/24, D21=0/24,), AND(C20=0/24, D21=0/24), (MOD(D21-C20,24) =D21)), 0/24, C20+1/24)</f>
        <v>0</v>
      </c>
      <c r="D21" s="41">
        <v>0</v>
      </c>
      <c r="E21" s="160" t="str">
        <f>IF(SUM(D22,E22)=0/24,"",SUM(D22,E22))</f>
        <v/>
      </c>
      <c r="F21" s="2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61"/>
      <c r="H21" s="155"/>
    </row>
    <row r="22" spans="1:8" ht="17.25" customHeight="1">
      <c r="A22" s="45">
        <f>IF(A21="", Deb, IF(A21&gt;DATE(YEAR(A21),3,20),IF(A21&lt;DATE(YEAR(A21),12,21),22 / 24,20 / 24),20 /24))</f>
        <v>0.83333333333333337</v>
      </c>
      <c r="B22" s="6" t="str">
        <f>IF(A21&lt;&gt;"",IF(A20="DIMANCHE","(majoration dimanche)",""), "")</f>
        <v/>
      </c>
      <c r="C22" s="48">
        <f>IF(C20 = C21, (MOD(D21-D20,1)),0)</f>
        <v>0</v>
      </c>
      <c r="D22" s="42">
        <f>IF(C20=0 / 24,0,IF((MOD(C20-D20,1))&lt;6 / 24,0,B32))</f>
        <v>0</v>
      </c>
      <c r="E22" s="16">
        <f>IF(C22&gt;=(6 / 24),B32,(IF(C21 = C20, IF(MOD(D21-D20, 1) &lt;6/24, 0, B32), IF((MOD(D21-C21,1))&lt;6/24,0,B32))))</f>
        <v>0</v>
      </c>
      <c r="F22" s="6" t="str">
        <f>IF(F21=" "," ","(minoration repas nuit)")</f>
        <v xml:space="preserve"> </v>
      </c>
      <c r="G22" s="16"/>
      <c r="H22" s="15">
        <f>IF((E20)&lt;12/24,0/24,(E20)-12/24)</f>
        <v>0</v>
      </c>
    </row>
    <row r="23" spans="1:8" ht="17.25" customHeight="1">
      <c r="A23" s="12" t="str">
        <f>CHOOSE(WEEKDAY(A9+5,2),"LUNDI","MARDI","MERCREDI","JEUDI","VENDREDI","SAMEDI","DIMANCHE")</f>
        <v>DIMANCHE</v>
      </c>
      <c r="B23" s="49" t="str">
        <f>IF(OR(C23&lt;&gt;0, C24 &lt;&gt;0,), IF(MOD(C24-C23, 1) &lt; 0.041, "(pause réduite)", ""), "")</f>
        <v/>
      </c>
      <c r="C23" s="63">
        <v>0</v>
      </c>
      <c r="D23" s="41">
        <v>0</v>
      </c>
      <c r="E23" s="21">
        <f>IF(D23= " ",0/24,((MOD(D24-D23,1))-MOD(C24-C23,1)))</f>
        <v>0</v>
      </c>
      <c r="F23" s="2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21">
        <f>IF(AND(D20=0, D21=0),0/24, (IF(D23=0/24,0/24,IF((MOD(D23-D21,1))&gt;=11/24,0/24, 11/24-(MOD(D23-D21,1))))))</f>
        <v>0</v>
      </c>
      <c r="H23" s="31">
        <v>0</v>
      </c>
    </row>
    <row r="24" spans="1:8" s="3" customFormat="1" ht="16.75" customHeight="1">
      <c r="A24" s="40">
        <f>IF(A21&lt;&gt; "", (IF(DATE(YEAR(A21),MONTH(A21),DAY(A21))&lt;DATE(YEAR(D3),MONTH(D3),DAY(D3)),DATE(YEAR(D2),MONTH(D2),(DAY(D2)+6)), "")), "")</f>
        <v>43836</v>
      </c>
      <c r="B24" s="5" t="str">
        <f>IF(E24="", "","(journée continue)")</f>
        <v/>
      </c>
      <c r="C24" s="159">
        <f>IF(OR(AND(D23=0/24, D24=0/24,), AND(C23=0/24, D24=0/24), (MOD(D24-C23,24) =D24)), 0/24, C23+1/24)</f>
        <v>0</v>
      </c>
      <c r="D24" s="41">
        <v>0</v>
      </c>
      <c r="E24" s="160" t="str">
        <f>IF(SUM(D25,E25)=0/24,"",SUM(D25,E25))</f>
        <v/>
      </c>
      <c r="F24" s="2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4"/>
      <c r="H24" s="155"/>
    </row>
    <row r="25" spans="1:8" s="3" customFormat="1" ht="16.75" customHeight="1">
      <c r="A25" s="45">
        <f>IF(A24="", Deb, IF(A24&gt;DATE(YEAR(A24),3,20),IF(A24&lt;DATE(YEAR(A24),12,21),22 / 24,20 / 24),20 /24))</f>
        <v>0.83333333333333337</v>
      </c>
      <c r="B25" s="6" t="str">
        <f>IF(A24&lt;&gt;"",IF(A23="DIMANCHE",IF(E23 &gt; 0/24, "(majoration dimanche)", ""),""),"")</f>
        <v/>
      </c>
      <c r="C25" s="48">
        <f>IF(C23 = C24, (MOD(D24-D23,1)),0)</f>
        <v>0</v>
      </c>
      <c r="D25" s="42">
        <f>IF(C23=0 / 24,0,IF((MOD(C23-D23,1))&lt;6 / 24,0,B32))</f>
        <v>0</v>
      </c>
      <c r="E25" s="16">
        <f>IF(C25&gt;=(6 / 24),B32,(IF(C24 = C23, IF(MOD(D24-D23, 1) &lt;6/24, 0, B32), IF((MOD(D24-C24,1))&lt;6/24,0,B32))))</f>
        <v>0</v>
      </c>
      <c r="F25" s="6" t="str">
        <f>IF(F24=" "," ","(minoration repas nuit)")</f>
        <v xml:space="preserve"> </v>
      </c>
      <c r="G25" s="16">
        <f>SUM(H25+H22+H19+H16+H13+H10+H7)</f>
        <v>0</v>
      </c>
      <c r="H25" s="15">
        <f>IF((E23)&lt;12/24,0/24,(E23)-12/24)</f>
        <v>0</v>
      </c>
    </row>
    <row r="26" spans="1:8" s="3" customFormat="1" ht="16.75" customHeight="1" thickBot="1">
      <c r="A26" s="103"/>
      <c r="B26" s="104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.75" customHeight="1">
      <c r="A27" s="67"/>
      <c r="B27" s="68"/>
      <c r="C27" s="68"/>
      <c r="D27" s="68"/>
      <c r="E27" s="69"/>
      <c r="F27" s="69"/>
      <c r="G27" s="69"/>
      <c r="H27" s="70"/>
    </row>
    <row r="28" spans="1:8" ht="13.75" customHeight="1" thickBot="1">
      <c r="A28" s="76">
        <f>IF(A6 = "", Fin, IF(A6&gt;DATE(YEAR(A6),3,20),IF(A6&lt;DATE(YEAR(A6),12,21),7 / 24,6 / 24),6 /24))</f>
        <v>0.25</v>
      </c>
      <c r="B28" s="101">
        <f>IF(A6 = "", Fin, IF(A6&gt;DATE(YEAR(A6),3,20),IF(A6&lt;DATE(YEAR(A6),12,21),7 / 24,6 / 24),6 /24))</f>
        <v>0.25</v>
      </c>
      <c r="C28" s="111"/>
      <c r="D28" s="111"/>
      <c r="E28" s="111"/>
      <c r="F28" s="101">
        <f>IF(A18 = "", Fin, IF(A18&gt;DATE(YEAR(A18),3,20),IF(A18&lt;DATE(YEAR(A18),12,21),7 / 24,6 / 24),6 /24))</f>
        <v>0.25</v>
      </c>
      <c r="G28" s="102">
        <f>IF(A21 = "", Fin, IF(A21&gt;DATE(YEAR(A21),3,20),IF(A21&lt;DATE(YEAR(A21),12,21),7 / 24,6 / 24),6 /24))</f>
        <v>0.25</v>
      </c>
      <c r="H28" s="97"/>
    </row>
    <row r="29" spans="1:8" ht="17.25" customHeight="1" thickBot="1">
      <c r="A29" s="76">
        <f>IF(A9= "", Fin, IF(A9&gt;DATE(YEAR(A9),3,20),IF(A9&lt;DATE(YEAR(A9),12,21),7 / 24,6 / 24),6 /24))</f>
        <v>0.25</v>
      </c>
      <c r="B29" s="101">
        <f>COUNTIF(E5,"&lt;&gt;0" )+COUNTIF(E8,"&lt;&gt;0")+COUNTIF(E11,"&lt;&gt;0")+COUNTIF(E14,"&lt;&gt;0")+COUNTIF(E17,"&lt;&gt;0")+COUNTIF(E20,"&lt;&gt;0")+COUNTIF(E23,"&lt;&gt;0")</f>
        <v>0</v>
      </c>
      <c r="C29" s="137" t="s">
        <v>37</v>
      </c>
      <c r="D29" s="126" t="s">
        <v>39</v>
      </c>
      <c r="E29" s="94">
        <f>IF(B29&gt;=5,IF(E26=0/24,0/24,IF(E26&lt;35/24,35/24,E26)),E26)</f>
        <v>0</v>
      </c>
      <c r="F29" s="96"/>
      <c r="G29" s="99"/>
      <c r="H29" s="100"/>
    </row>
    <row r="30" spans="1:8" ht="17.25" customHeight="1">
      <c r="A30" s="76">
        <f>IF(A12 = "", Fin, IF(A12&gt;DATE(YEAR(A12),3,20),IF(A12&lt;DATE(YEAR(A12),12,21),7 / 24,6 / 24),6 /24))</f>
        <v>0.25</v>
      </c>
      <c r="B30" s="178" t="s">
        <v>57</v>
      </c>
      <c r="C30" s="115"/>
      <c r="D30" s="116" t="s">
        <v>32</v>
      </c>
      <c r="E30" s="127">
        <f>IF(E26&gt;35 / 24,35 / 24,E26)</f>
        <v>0</v>
      </c>
      <c r="F30" s="95"/>
      <c r="G30" s="183" t="s">
        <v>31</v>
      </c>
      <c r="H30" s="184"/>
    </row>
    <row r="31" spans="1:8" s="3" customFormat="1" ht="17.25" customHeight="1">
      <c r="A31" s="138">
        <f>IF(A15 = "", Fin, IF(A15&gt;DATE(YEAR(A15),3,20),IF(A15&lt;DATE(YEAR(A15),12,21),7 / 24,6 / 24),6 /24))</f>
        <v>0.25</v>
      </c>
      <c r="B31" s="179" t="s">
        <v>58</v>
      </c>
      <c r="C31" s="117" t="s">
        <v>33</v>
      </c>
      <c r="D31" s="118" t="s">
        <v>34</v>
      </c>
      <c r="E31" s="128">
        <f>IF(E26&gt;35 / 24,IF(E26&lt;43 / 24,E26-35 / 24,8 / 24),0 / 24)</f>
        <v>0</v>
      </c>
      <c r="F31" s="95"/>
      <c r="G31" s="181" t="s">
        <v>12</v>
      </c>
      <c r="H31" s="182"/>
    </row>
    <row r="32" spans="1:8" s="3" customFormat="1" ht="17.25" customHeight="1" thickBot="1">
      <c r="A32" s="138">
        <f>IF(A18 = "", Fin, IF(A18&gt;DATE(YEAR(A18),3,20),IF(A18&lt;DATE(YEAR(A18),12,21),7 / 24,6 / 24),6 /24))</f>
        <v>0.25</v>
      </c>
      <c r="B32" s="180">
        <v>1.3888888888888888E-2</v>
      </c>
      <c r="C32" s="119" t="s">
        <v>38</v>
      </c>
      <c r="D32" s="120" t="s">
        <v>35</v>
      </c>
      <c r="E32" s="129">
        <f>IF(E26&gt;43 / 24,E26- 43 / 24,0 /24)</f>
        <v>0</v>
      </c>
      <c r="F32" s="95"/>
      <c r="G32" s="71"/>
      <c r="H32" s="98"/>
    </row>
    <row r="33" spans="1:8" s="3" customFormat="1" ht="17.25" customHeight="1">
      <c r="A33" s="138">
        <f>IF(A21 = "", Fin, IF(A21&gt;DATE(YEAR(A21),3,20),IF(A21&lt;DATE(YEAR(A21),12,21),7 / 24,6 / 24),6 /24))</f>
        <v>0.25</v>
      </c>
      <c r="B33" s="140" t="s">
        <v>10</v>
      </c>
      <c r="C33" s="156"/>
      <c r="D33" s="157" t="s">
        <v>40</v>
      </c>
      <c r="E33" s="158">
        <f>F26</f>
        <v>0</v>
      </c>
      <c r="F33" s="95"/>
      <c r="G33" s="111"/>
      <c r="H33" s="110"/>
    </row>
    <row r="34" spans="1:8" s="3" customFormat="1" ht="17.25" customHeight="1">
      <c r="A34" s="139">
        <f>IF(A24 = "", Fin, IF(A24&gt;DATE(YEAR(A24),3,20),IF(A24&lt;DATE(YEAR(A24),12,21),7 / 24,6 / 24),6 /24))</f>
        <v>0.25</v>
      </c>
      <c r="B34" s="141">
        <f>IF(D2&gt;DATE(YEAR(D2),3,20),IF(D2&lt;DATE(YEAR(D2),12,21),22/24,20/24),20/24)</f>
        <v>0.83333333333333337</v>
      </c>
      <c r="C34" s="122"/>
      <c r="D34" s="123" t="s">
        <v>41</v>
      </c>
      <c r="E34" s="130">
        <f>G26</f>
        <v>0</v>
      </c>
      <c r="F34" s="95"/>
      <c r="G34" s="111"/>
      <c r="H34" s="110"/>
    </row>
    <row r="35" spans="1:8" s="3" customFormat="1" ht="17.25" customHeight="1">
      <c r="A35" s="112"/>
      <c r="B35" s="142" t="s">
        <v>11</v>
      </c>
      <c r="C35" s="124"/>
      <c r="D35" s="164" t="s">
        <v>36</v>
      </c>
      <c r="E35" s="168">
        <f>H26</f>
        <v>0</v>
      </c>
      <c r="F35" s="113"/>
      <c r="H35" s="114"/>
    </row>
    <row r="36" spans="1:8" s="3" customFormat="1" ht="17.25" customHeight="1" thickBot="1">
      <c r="A36" s="112"/>
      <c r="B36" s="143">
        <f>IF(D2&gt;DATE(YEAR(D2),3,20),IF(D2&lt;DATE(YEAR(D2),12,21),7 / 24,6 / 24),6 /24)</f>
        <v>0.25</v>
      </c>
      <c r="C36" s="122"/>
      <c r="D36" s="165" t="s">
        <v>43</v>
      </c>
      <c r="E36" s="169">
        <v>0</v>
      </c>
      <c r="F36" s="113"/>
      <c r="G36" s="113"/>
      <c r="H36" s="114"/>
    </row>
    <row r="37" spans="1:8" s="3" customFormat="1" ht="17.25" customHeight="1">
      <c r="A37" s="112"/>
      <c r="C37" s="121"/>
      <c r="D37" s="166" t="s">
        <v>42</v>
      </c>
      <c r="E37" s="170">
        <f>IF(B7&lt;&gt;"",E5,IF(B10&lt;&gt;"",E8,IF(B13&lt;&gt;"",E11,IF(B16&lt;&gt;"",E14,IF(B19&lt;&gt;"",E17,IF(B22&lt;&gt;"",E20, IF(B25&lt;&gt;"",E23, 0)))))))</f>
        <v>0</v>
      </c>
      <c r="F37" s="113"/>
      <c r="G37" s="113"/>
      <c r="H37" s="177"/>
    </row>
    <row r="38" spans="1:8" s="3" customFormat="1" ht="17.25" customHeight="1" thickBot="1">
      <c r="A38" s="112"/>
      <c r="B38" s="136"/>
      <c r="C38" s="125"/>
      <c r="D38" s="167" t="str">
        <f>IF(E38&lt;=1, "JOURNEE CONTINUE", "JOURNEES CONTINUES")</f>
        <v>JOURNEE CONTINUE</v>
      </c>
      <c r="E38" s="171">
        <f>SUM(E21,E18,E15,E12,E9,E6, E24)/B32</f>
        <v>0</v>
      </c>
      <c r="F38" s="113"/>
      <c r="G38" s="113"/>
      <c r="H38" s="114"/>
    </row>
    <row r="39" spans="1:8" ht="17.25" customHeight="1">
      <c r="A39" s="112"/>
      <c r="B39" s="113"/>
      <c r="C39" s="111"/>
      <c r="D39" s="111"/>
      <c r="E39" s="111"/>
      <c r="F39" s="113"/>
      <c r="G39" s="113"/>
      <c r="H39" s="114"/>
    </row>
    <row r="40" spans="1:8">
      <c r="A40" s="131"/>
      <c r="B40" s="111"/>
      <c r="C40" s="111"/>
      <c r="D40" s="111"/>
      <c r="E40" s="111"/>
      <c r="F40" s="111"/>
      <c r="G40" s="111"/>
      <c r="H40" s="132"/>
    </row>
    <row r="41" spans="1:8">
      <c r="A41" s="133"/>
      <c r="B41" s="134"/>
      <c r="C41" s="134"/>
      <c r="D41" s="134"/>
      <c r="E41" s="134"/>
      <c r="F41" s="134"/>
      <c r="G41" s="134"/>
      <c r="H41" s="135"/>
    </row>
  </sheetData>
  <sheetProtection sheet="1" selectLockedCells="1"/>
  <mergeCells count="2">
    <mergeCell ref="G31:H31"/>
    <mergeCell ref="G30:H30"/>
  </mergeCells>
  <printOptions horizontalCentered="1"/>
  <pageMargins left="0" right="0" top="0.15748031496062992" bottom="0.15748031496062992" header="0.11811023622047244" footer="0.11811023622047244"/>
  <pageSetup paperSize="9" scale="7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9032-E592-4B72-8002-B584C4E506D9}">
  <sheetPr>
    <tabColor theme="6"/>
    <pageSetUpPr fitToPage="1"/>
  </sheetPr>
  <dimension ref="A1:H41"/>
  <sheetViews>
    <sheetView zoomScale="75" zoomScaleNormal="75" workbookViewId="0">
      <selection activeCell="D24" sqref="D24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7" t="str">
        <f>'1er Ass OPV'!B1</f>
        <v>"Production"</v>
      </c>
      <c r="C1" s="64"/>
      <c r="D1" s="39" t="str">
        <f>'1er Ass OPV'!D1</f>
        <v>Semaine N°</v>
      </c>
      <c r="E1" s="18" t="s">
        <v>1</v>
      </c>
      <c r="F1" s="27" t="str">
        <f>'1er Ass OPV'!F1</f>
        <v>Caméra</v>
      </c>
      <c r="G1" s="62"/>
      <c r="H1" s="13"/>
    </row>
    <row r="2" spans="1:8" ht="20" customHeight="1">
      <c r="A2" s="19" t="s">
        <v>14</v>
      </c>
      <c r="B2" s="28" t="str">
        <f>'1er Ass OPV'!B2</f>
        <v>"Film"</v>
      </c>
      <c r="C2" s="36" t="s">
        <v>24</v>
      </c>
      <c r="D2" s="38">
        <f>'1er Ass OPV'!D2</f>
        <v>43830</v>
      </c>
      <c r="E2" s="36" t="s">
        <v>3</v>
      </c>
      <c r="F2" s="28" t="s">
        <v>22</v>
      </c>
      <c r="G2" s="61"/>
      <c r="H2" s="37"/>
    </row>
    <row r="3" spans="1:8" ht="20" customHeight="1" thickBot="1">
      <c r="A3" s="19"/>
      <c r="B3" s="61"/>
      <c r="C3" s="36" t="s">
        <v>25</v>
      </c>
      <c r="D3" s="151">
        <f>D2+DAY(5)</f>
        <v>43836</v>
      </c>
      <c r="E3" s="20"/>
      <c r="F3" s="60"/>
      <c r="G3" s="60"/>
      <c r="H3" s="14"/>
    </row>
    <row r="4" spans="1:8" s="3" customFormat="1" ht="46.5" customHeight="1">
      <c r="A4" s="7" t="s">
        <v>4</v>
      </c>
      <c r="B4" s="8" t="s">
        <v>15</v>
      </c>
      <c r="C4" s="8" t="s">
        <v>28</v>
      </c>
      <c r="D4" s="10" t="s">
        <v>5</v>
      </c>
      <c r="E4" s="8" t="s">
        <v>6</v>
      </c>
      <c r="F4" s="9" t="s">
        <v>7</v>
      </c>
      <c r="G4" s="10" t="s">
        <v>26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3">
        <f>'1er Ass OPV'!C5</f>
        <v>0</v>
      </c>
      <c r="D5" s="41">
        <f>'1er Ass OPV'!D5</f>
        <v>0</v>
      </c>
      <c r="E5" s="21">
        <f>IF(D5= " ",0/24,((MOD(D6-D5,1))-MOD(C6-C5,1)))</f>
        <v>0</v>
      </c>
      <c r="F5" s="2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21">
        <v>0</v>
      </c>
      <c r="H5" s="31">
        <f>'1er Ass OPV'!H5</f>
        <v>0</v>
      </c>
    </row>
    <row r="6" spans="1:8" ht="17.25" customHeight="1">
      <c r="A6" s="40">
        <f>D2</f>
        <v>43830</v>
      </c>
      <c r="B6" s="46" t="str">
        <f>IF(E6="", "","(journée continue)")</f>
        <v/>
      </c>
      <c r="C6" s="159">
        <f>IF(OR(AND(D5=0/24, D6=0/24,), AND(C5=0/24, D6=0/24), (MOD(D6-C5,24) =D6)), 0/24, C5+1/24)</f>
        <v>0</v>
      </c>
      <c r="D6" s="41">
        <f>'1er Ass OPV'!D6</f>
        <v>0</v>
      </c>
      <c r="E6" s="160" t="str">
        <f>IF(SUM(D7,E7)=0/24,"",SUM(D7,E7))</f>
        <v/>
      </c>
      <c r="F6" s="2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4"/>
      <c r="H6" s="152"/>
    </row>
    <row r="7" spans="1:8" ht="17.25" customHeight="1">
      <c r="A7" s="45">
        <f>IF(A6="", Deb, IF(A6&gt;DATE(YEAR(A6),3,20),IF(A6&lt;DATE(YEAR(A6),12,21),22 / 24,20 / 24),20 /24))</f>
        <v>0.83333333333333337</v>
      </c>
      <c r="B7" s="44" t="str">
        <f>IF(A6 &lt;&gt; "", IF(A5="DIMANCHE", "(majoration dimanche)", ""), "")</f>
        <v/>
      </c>
      <c r="C7" s="48">
        <f>IF(C6 = C5, (MOD(D6-D5,1)),0)</f>
        <v>0</v>
      </c>
      <c r="D7" s="42">
        <f>IF(C5=0 / 24,0,IF((MOD(C5-D5,1))&lt;6 / 24,0,B32))</f>
        <v>0</v>
      </c>
      <c r="E7" s="16">
        <f>IF(C7&gt;=(6 / 24),B32,(IF(C5 = C6, IF(MOD(D6-D5, 1) &lt;6/24, 0, B32), IF((MOD(D6-C6,1))&lt;6/24,0,B32))))</f>
        <v>0</v>
      </c>
      <c r="F7" s="6" t="str">
        <f>IF(OR(F6=" ", F6=0)," ","(minoration repas nuit)")</f>
        <v xml:space="preserve"> </v>
      </c>
      <c r="G7" s="65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49" t="str">
        <f>IF(OR(C8&lt;&gt;0, C9 &lt;&gt;0,), IF(MOD(C9-C8, 1) &lt; 0.041, "(pause réduite)", ""), "")</f>
        <v/>
      </c>
      <c r="C8" s="63">
        <f>'1er Ass OPV'!C8</f>
        <v>0</v>
      </c>
      <c r="D8" s="41">
        <f>'1er Ass OPV'!D8</f>
        <v>0</v>
      </c>
      <c r="E8" s="21">
        <f>IF(D8= " ",0/24,((MOD(D9-D8,1))-MOD(C9-C8,1)))</f>
        <v>0</v>
      </c>
      <c r="F8" s="2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21">
        <f>IF(AND(D5=0, D6=0), 0/24, (IF(D8=0/24,0/24,IF((MOD(D8-D6,1))&gt;=11/24,0/24,11/24-(MOD(D8-D6,1))))))</f>
        <v>0</v>
      </c>
      <c r="H8" s="31">
        <f>'1er Ass OPV'!H8</f>
        <v>0</v>
      </c>
    </row>
    <row r="9" spans="1:8" ht="17.25" customHeight="1">
      <c r="A9" s="40">
        <f>IF(AND(DATE(YEAR(D2),MONTH(D2),DAY(D2))&lt;DATE(YEAR(D3),MONTH(D3),DAY(D3)), A6&lt;&gt;""),DATE(YEAR(D2),MONTH(D2),DAY(D2)+1),"")</f>
        <v>43831</v>
      </c>
      <c r="B9" s="5" t="str">
        <f>IF(E9="", "","(journée continue)")</f>
        <v/>
      </c>
      <c r="C9" s="159">
        <f>IF(OR(AND(D8=0/24, D9=0/24,), AND(C8=0/24, D9=0/24), (MOD(D9-C8,24) =D9)), 0/24, C8+1/24)</f>
        <v>0</v>
      </c>
      <c r="D9" s="41">
        <f>'1er Ass OPV'!D9</f>
        <v>0</v>
      </c>
      <c r="E9" s="160" t="str">
        <f>IF(SUM(D10,E10)=0/24,"",SUM(D10,E10))</f>
        <v/>
      </c>
      <c r="F9" s="2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4"/>
      <c r="H9" s="153"/>
    </row>
    <row r="10" spans="1:8" ht="17.25" customHeight="1">
      <c r="A10" s="45">
        <f>IF(A9="", Deb, IF(A9&gt;DATE(YEAR(A9),3,20),IF(A9&lt;DATE(YEAR(A9),12,21),22 / 24,20 / 24),20 /24))</f>
        <v>0.83333333333333337</v>
      </c>
      <c r="B10" s="44" t="str">
        <f>IF(A9 &lt;&gt; "", IF(A8="DIMANCHE", "(majoration dimanche)", ""), "")</f>
        <v/>
      </c>
      <c r="C10" s="48">
        <f>IF(C9 = C8, (MOD(D9-D8,1)),0)</f>
        <v>0</v>
      </c>
      <c r="D10" s="42">
        <f>IF(C8=0 / 24,0,IF((MOD(C8-D8,1))&lt;6 / 24,0,B32))</f>
        <v>0</v>
      </c>
      <c r="E10" s="48">
        <f>IF(C10&gt;=(6 / 24),B32,(IF(C8 = C9, IF(MOD(D9-D8, 1) &lt;6 /24, 0, B32), IF((MOD(D9-C9,1))&lt;6/24,0,B32))))</f>
        <v>0</v>
      </c>
      <c r="F10" s="6" t="str">
        <f>IF(F9=" "," ","(minoration repas nuit)")</f>
        <v xml:space="preserve"> </v>
      </c>
      <c r="G10" s="65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49" t="str">
        <f>IF(OR(C11&lt;&gt;0, C12 &lt;&gt;0,), IF(MOD(C12-C11, 1) &lt; 0.041, "(pause réduite)", ""), "")</f>
        <v/>
      </c>
      <c r="C11" s="63">
        <f>'1er Ass OPV'!C11</f>
        <v>0</v>
      </c>
      <c r="D11" s="41">
        <f>'1er Ass OPV'!D11</f>
        <v>0</v>
      </c>
      <c r="E11" s="21">
        <f>IF(D11= " ",0/24,((MOD(D12-D11,1))-MOD(C12-C11,1)))</f>
        <v>0</v>
      </c>
      <c r="F11" s="2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1">
        <f>'1er Ass OPV'!H11</f>
        <v>0</v>
      </c>
    </row>
    <row r="12" spans="1:8" ht="17.25" customHeight="1">
      <c r="A12" s="40">
        <f>IF(AND(DATE(YEAR(A9),MONTH(A9),DAY(A9))&lt;DATE(YEAR(D3),MONTH(D3),DAY(D3)), A9&lt;&gt;""),DATE(YEAR(D2),MONTH(D2),DAY(D2)+2), "")</f>
        <v>43832</v>
      </c>
      <c r="B12" s="5" t="str">
        <f>IF(E12="", "","(journée continue)")</f>
        <v/>
      </c>
      <c r="C12" s="159">
        <f>IF(OR(AND(D11=0/24, D12=0/24,), AND(C11=0/24, D12=0/24), (MOD(D12-C11,24) =D12)), 0/24, C11+1/24)</f>
        <v>0</v>
      </c>
      <c r="D12" s="43">
        <f>'1er Ass OPV'!D12</f>
        <v>0</v>
      </c>
      <c r="E12" s="160" t="str">
        <f>IF(SUM(D13,E13)=0/24,"",SUM(D13,E13))</f>
        <v/>
      </c>
      <c r="F12" s="2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"/>
      <c r="H12" s="154"/>
    </row>
    <row r="13" spans="1:8" ht="17.25" customHeight="1">
      <c r="A13" s="45">
        <f>IF(A12="", Deb, IF(A12&gt;DATE(YEAR(A12),3,20),IF(A12&lt;DATE(YEAR(A12),12,21),22 / 24,20 / 24),20 /24))</f>
        <v>0.83333333333333337</v>
      </c>
      <c r="B13" s="6" t="str">
        <f>IF(A12 &lt;&gt; "", IF(A11="DIMANCHE", "(majoration dimanche)", ""), "")</f>
        <v/>
      </c>
      <c r="C13" s="48">
        <f>IF(C12 = C11, (MOD(D12-D11,1)),0)</f>
        <v>0</v>
      </c>
      <c r="D13" s="42">
        <f>IF(C11=0 / 24,0,IF((MOD(C11-D11,1))&lt;6 / 24,0, B32))</f>
        <v>0</v>
      </c>
      <c r="E13" s="16">
        <f>IF(C13&gt;=(6 / 24),B32,(IF(C11 = C12, IF(MOD(D12-D11, 1) &lt;6/24, 0, B32), IF((MOD(D12-C12,1))&lt;6/24,0,B32))))</f>
        <v>0</v>
      </c>
      <c r="F13" s="6" t="str">
        <f>IF(F12=" "," ","(minoration repas nuit)")</f>
        <v xml:space="preserve"> </v>
      </c>
      <c r="G13" s="66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49" t="str">
        <f>IF(OR(C14&lt;&gt;0, C15 &lt;&gt;0,), IF(MOD(C15-C14, 1) &lt; 0.041, "(pause réduite)", ""), "")</f>
        <v/>
      </c>
      <c r="C14" s="63">
        <f>'1er Ass OPV'!C14</f>
        <v>0</v>
      </c>
      <c r="D14" s="41">
        <f>'1er Ass OPV'!D14</f>
        <v>0</v>
      </c>
      <c r="E14" s="21">
        <f>IF(D14= " ",0/24,((MOD(D15-D14,1))-MOD(C15-C14,1)))</f>
        <v>0</v>
      </c>
      <c r="F14" s="2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1">
        <f>'1er Ass OPV'!H14</f>
        <v>0</v>
      </c>
    </row>
    <row r="15" spans="1:8" ht="17.25" customHeight="1">
      <c r="A15" s="40">
        <f>IF(A12&lt;&gt; "", (IF(DATE(YEAR(A12),MONTH(A12),DAY(A12))&lt;DATE(YEAR(D3),MONTH(D3),DAY(D3)),DATE(YEAR(D2),MONTH(D2),(DAY(D2)+3)), "")), "")</f>
        <v>43833</v>
      </c>
      <c r="B15" s="5" t="str">
        <f>IF(E15="", "","(journée continue)")</f>
        <v/>
      </c>
      <c r="C15" s="159">
        <f>IF(OR(AND(D14=0/24, D15=0/24,), AND(C14=0/24, D15=0/24), (MOD(D15-C14,24) =D15)), 0/24, C14+1/24)</f>
        <v>0</v>
      </c>
      <c r="D15" s="41">
        <f>'1er Ass OPV'!D15</f>
        <v>0</v>
      </c>
      <c r="E15" s="160" t="str">
        <f>IF(SUM(D16,E16)=0/24,"",SUM(D16,E16))</f>
        <v/>
      </c>
      <c r="F15" s="2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4"/>
      <c r="H15" s="153"/>
    </row>
    <row r="16" spans="1:8" ht="17.25" customHeight="1">
      <c r="A16" s="45">
        <f>IF(A15="", Deb, IF(A15&gt;DATE(YEAR(A15),3,20),IF(A15&lt;DATE(YEAR(A15),12,21),22 / 24,20 / 24),20 /24))</f>
        <v>0.83333333333333337</v>
      </c>
      <c r="B16" s="6" t="str">
        <f>IF(A15 &lt;&gt; "", IF(A14="DIMANCHE", "(majoration dimanche)", ""), "")</f>
        <v/>
      </c>
      <c r="C16" s="48">
        <f>IF(C14 = C15, (MOD(D15-D14,1)),0)</f>
        <v>0</v>
      </c>
      <c r="D16" s="42">
        <f>IF(C14=0 / 24,0,IF((MOD(C14-D14,1))&lt;6 / 24,0,B32))</f>
        <v>0</v>
      </c>
      <c r="E16" s="16">
        <f>IF(C16&gt;=(6 / 24),B32,(IF(C15 = C14, IF(MOD(D15-D14, 1) &lt;6/24, 0, B32), IF((MOD(D15-C15,1))&lt;6/24,0,B32))))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49" t="str">
        <f>IF(OR(C17&lt;&gt;0, C18 &lt;&gt;0,), IF(MOD(C18-C17, 1) &lt; 0.041, "(pause réduite)", ""), "")</f>
        <v/>
      </c>
      <c r="C17" s="63">
        <f>'1er Ass OPV'!C17</f>
        <v>0</v>
      </c>
      <c r="D17" s="41">
        <f>'1er Ass OPV'!D17</f>
        <v>0</v>
      </c>
      <c r="E17" s="21">
        <f>IF(D17=" ",0/24,((MOD(D18-D17,1))-MOD(C18-C17,1)))</f>
        <v>0</v>
      </c>
      <c r="F17" s="2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1">
        <f>'1er Ass OPV'!H17</f>
        <v>0</v>
      </c>
    </row>
    <row r="18" spans="1:8" ht="17.25" customHeight="1">
      <c r="A18" s="40">
        <f>IF(A15&lt;&gt; "", (IF(DATE(YEAR(A15),MONTH(A15),DAY(A15))&lt;DATE(YEAR(D3),MONTH(D3),DAY(D3)),DATE(YEAR(D2),MONTH(D2),(DAY(D2)+4)), "")), "")</f>
        <v>43834</v>
      </c>
      <c r="B18" s="5" t="str">
        <f>IF(E18="", "","(journée continue)")</f>
        <v/>
      </c>
      <c r="C18" s="159">
        <f>IF(OR(AND(D17=0/24, D18=0/24,), AND(C17=0/24, D18=0/24), (MOD(D18-C17,24) =D18)), 0/24, C17+1/24)</f>
        <v>0</v>
      </c>
      <c r="D18" s="41">
        <f>'1er Ass OPV'!D18</f>
        <v>0</v>
      </c>
      <c r="E18" s="160" t="str">
        <f>IF(SUM(D19,E19)=0/24,"",SUM(D19,E19))</f>
        <v/>
      </c>
      <c r="F18" s="2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4"/>
      <c r="H18" s="153"/>
    </row>
    <row r="19" spans="1:8" ht="17.25" customHeight="1">
      <c r="A19" s="45">
        <f>IF(A18="", Deb, IF(A18&gt;DATE(YEAR(A18),3,20),IF(A18&lt;DATE(YEAR(A18),12,21),22 / 24,20 / 24),20 /24))</f>
        <v>0.83333333333333337</v>
      </c>
      <c r="B19" s="6" t="str">
        <f>IF(A18 &lt;&gt; "", IF(A17="DIMANCHE", "(majoration dimanche)", ""), "")</f>
        <v/>
      </c>
      <c r="C19" s="48">
        <f>IF(C17 = C18, (MOD(D18-D17,1)),0)</f>
        <v>0</v>
      </c>
      <c r="D19" s="42">
        <f>IF(C17=0 / 24,0,IF((MOD(C17-D17,1))&lt;6 / 24,0,B32))</f>
        <v>0</v>
      </c>
      <c r="E19" s="16">
        <f>IF(C19&gt;=(6 / 24),B32,(IF(C17 = C18, IF(MOD(D18-D17, 1) &lt;6/24, 0, B32), IF((MOD(D18-C18,1))&lt;6/24,0,B32))))</f>
        <v>0</v>
      </c>
      <c r="F19" s="6" t="str">
        <f>IF(F18=" "," ","(minoration repas nuit)")</f>
        <v xml:space="preserve"> </v>
      </c>
      <c r="G19" s="47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49" t="str">
        <f>IF(OR(C20&lt;&gt;0, C21 &lt;&gt;0,), IF(MOD(C21-C20, 1) &lt; 0.041, "(pause réduite)", ""), "")</f>
        <v/>
      </c>
      <c r="C20" s="63">
        <f>'1er Ass OPV'!C20</f>
        <v>0</v>
      </c>
      <c r="D20" s="41">
        <f>'1er Ass OPV'!D20</f>
        <v>0</v>
      </c>
      <c r="E20" s="21">
        <f>IF(D20= " ",0/24,((MOD(D21-D20,1))-MOD(C21-C20,1)))</f>
        <v>0</v>
      </c>
      <c r="F20" s="2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1">
        <f>'1er Ass OPV'!H20</f>
        <v>0</v>
      </c>
    </row>
    <row r="21" spans="1:8" ht="17.25" customHeight="1">
      <c r="A21" s="40">
        <f>IF(A18&lt;&gt; "", (IF(DATE(YEAR(A18),MONTH(A18),DAY(A18))&lt;DATE(YEAR(D3),MONTH(D3),DAY(D3)),DATE(YEAR(D2),MONTH(D2),(DAY(D2)+5)), "")), "")</f>
        <v>43835</v>
      </c>
      <c r="B21" s="5" t="str">
        <f>IF(E21="", "","(journée continue)")</f>
        <v/>
      </c>
      <c r="C21" s="159">
        <f>IF(OR(AND(D20=0/24, D21=0/24,), AND(C20=0/24, D21=0/24), (MOD(D21-C20,24) =D21)), 0/24, C20+1/24)</f>
        <v>0</v>
      </c>
      <c r="D21" s="41">
        <f>'1er Ass OPV'!D21</f>
        <v>0</v>
      </c>
      <c r="E21" s="160" t="str">
        <f>IF(SUM(D22,E22)=0/24,"",SUM(D22,E22))</f>
        <v/>
      </c>
      <c r="F21" s="2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4"/>
      <c r="H21" s="155"/>
    </row>
    <row r="22" spans="1:8" ht="17.25" customHeight="1">
      <c r="A22" s="45">
        <f>IF(A21="", Deb, IF(A21&gt;DATE(YEAR(A21),3,20),IF(A21&lt;DATE(YEAR(A21),12,21),22 / 24,20 / 24),20 /24))</f>
        <v>0.83333333333333337</v>
      </c>
      <c r="B22" s="6" t="str">
        <f>IF(A21&lt;&gt;"",IF(A20="DIMANCHE","(majoration dimanche)",""), "")</f>
        <v/>
      </c>
      <c r="C22" s="48">
        <f>IF(C20 = C21, (MOD(D21-D20,1)),0)</f>
        <v>0</v>
      </c>
      <c r="D22" s="42">
        <f>IF(C20=0 / 24,0,IF((MOD(C20-D20,1))&lt;6 / 24,0,B32))</f>
        <v>0</v>
      </c>
      <c r="E22" s="16">
        <f>IF(C22&gt;=(6 / 24),B32,(IF(C21 = C20, IF(MOD(D21-D20, 1) &lt;6/24, 0, B32), IF((MOD(D21-C21,1))&lt;6/24,0,B32))))</f>
        <v>0</v>
      </c>
      <c r="F22" s="6" t="str">
        <f>IF(F21=" "," ","(minoration repas nuit)")</f>
        <v xml:space="preserve"> </v>
      </c>
      <c r="G22" s="16"/>
      <c r="H22" s="15">
        <f>IF((E20)&lt;12/24,0/24,(E20)-12/24)</f>
        <v>0</v>
      </c>
    </row>
    <row r="23" spans="1:8" ht="17.25" customHeight="1">
      <c r="A23" s="12" t="str">
        <f>CHOOSE(WEEKDAY(A9+5,2),"LUNDI","MARDI","MERCREDI","JEUDI","VENDREDI","SAMEDI","DIMANCHE")</f>
        <v>DIMANCHE</v>
      </c>
      <c r="B23" s="49" t="str">
        <f>IF(OR(C243&lt;&gt;0, C24 &lt;&gt;0,), IF(MOD(C24-C23, 1) &lt; 0.041, "(pause réduite)", ""), "")</f>
        <v/>
      </c>
      <c r="C23" s="63">
        <f>'1er Ass OPV'!C23</f>
        <v>0</v>
      </c>
      <c r="D23" s="41">
        <f>'1er Ass OPV'!D23</f>
        <v>0</v>
      </c>
      <c r="E23" s="21">
        <f>IF(D23= " ",0/24,((MOD(D24-D23,1))-MOD(C24-C23,1)))</f>
        <v>0</v>
      </c>
      <c r="F23" s="2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21">
        <f>IF(AND(D20=0, D21=0),0/24, (IF(D23=0/24,0/24,IF((MOD(D23-D21,1))&gt;=11/24,0/24, 11/24-(MOD(D23-D21,1))))))</f>
        <v>0</v>
      </c>
      <c r="H23" s="31">
        <f>'1er Ass OPV'!H23</f>
        <v>0</v>
      </c>
    </row>
    <row r="24" spans="1:8" s="3" customFormat="1" ht="16.75" customHeight="1">
      <c r="A24" s="40">
        <f>IF(A21&lt;&gt; "", (IF(DATE(YEAR(A21),MONTH(A21),DAY(A21))&lt;DATE(YEAR(D3),MONTH(D3),DAY(D3)),DATE(YEAR(D2),MONTH(D2),(DAY(D2)+6)), "")), "")</f>
        <v>43836</v>
      </c>
      <c r="B24" s="5" t="str">
        <f>IF(E24="", "","(journée continue)")</f>
        <v/>
      </c>
      <c r="C24" s="159">
        <f>IF(OR(AND(D23=0/24, D24=0/24,), AND(C23=0/24, D24=0/24), (MOD(D24-C23,24) =D24)), 0/24, C23+1/24)</f>
        <v>0</v>
      </c>
      <c r="D24" s="41">
        <f>'1er Ass OPV'!D24</f>
        <v>0</v>
      </c>
      <c r="E24" s="160" t="str">
        <f>IF(SUM(D25,E25)=0/24,"",SUM(D25,E25))</f>
        <v/>
      </c>
      <c r="F24" s="2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4"/>
      <c r="H24" s="155"/>
    </row>
    <row r="25" spans="1:8" s="3" customFormat="1" ht="16.75" customHeight="1">
      <c r="A25" s="45">
        <f>IF(A24="", Deb, IF(A24&gt;DATE(YEAR(A24),3,20),IF(A24&lt;DATE(YEAR(A24),12,21),22 / 24,20 / 24),20 /24))</f>
        <v>0.83333333333333337</v>
      </c>
      <c r="B25" s="6" t="str">
        <f>IF(A24&lt;&gt;"",IF(A23="DIMANCHE",IF(E23 &gt; 0/24, "(majoration dimanche)", ""),""),"")</f>
        <v/>
      </c>
      <c r="C25" s="48">
        <f>IF(C23 = C24, (MOD(D24-D23,1)),0)</f>
        <v>0</v>
      </c>
      <c r="D25" s="42">
        <f>IF(C23=0 / 24,0,IF((MOD(C23-D23,1))&lt;6 / 24,0,B32))</f>
        <v>0</v>
      </c>
      <c r="E25" s="16">
        <f>IF(C25&gt;=(6 / 24),B32,(IF(C24 = C23, IF(MOD(D24-D23, 1) &lt;6/24, 0, B32), IF((MOD(D24-C24,1))&lt;6/24,0,B32))))</f>
        <v>0</v>
      </c>
      <c r="F25" s="6" t="str">
        <f>IF(F24=" "," ","(minoration repas nuit)")</f>
        <v xml:space="preserve"> </v>
      </c>
      <c r="G25" s="16">
        <f>SUM(H25+H22+H19+H16+H13+H10+H7)</f>
        <v>0</v>
      </c>
      <c r="H25" s="15">
        <f>IF((E23)&lt;12/24,0/24,(E23)-12/24)</f>
        <v>0</v>
      </c>
    </row>
    <row r="26" spans="1:8" s="3" customFormat="1" ht="16.75" customHeight="1" thickBot="1">
      <c r="A26" s="103"/>
      <c r="B26" s="104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.75" customHeight="1">
      <c r="A27" s="67"/>
      <c r="B27" s="68"/>
      <c r="C27" s="68"/>
      <c r="D27" s="68"/>
      <c r="E27" s="69"/>
      <c r="F27" s="69"/>
      <c r="G27" s="69"/>
      <c r="H27" s="70"/>
    </row>
    <row r="28" spans="1:8" ht="13.25" customHeight="1" thickBot="1">
      <c r="A28" s="76">
        <f>IF(A6 = "", Fin, IF(A6&gt;DATE(YEAR(A6),3,20),IF(A6&lt;DATE(YEAR(A6),12,21),7 / 24,6 / 24),6 /24))</f>
        <v>0.25</v>
      </c>
      <c r="B28" s="101">
        <f>IF(A6 = "", Fin, IF(A6&gt;DATE(YEAR(A6),3,20),IF(A6&lt;DATE(YEAR(A6),12,21),7 / 24,6 / 24),6 /24))</f>
        <v>0.25</v>
      </c>
      <c r="C28" s="111"/>
      <c r="D28" s="111"/>
      <c r="E28" s="111"/>
      <c r="F28" s="101">
        <f>IF(A18 = "", Fin, IF(A18&gt;DATE(YEAR(A18),3,20),IF(A18&lt;DATE(YEAR(A18),12,21),7 / 24,6 / 24),6 /24))</f>
        <v>0.25</v>
      </c>
      <c r="G28" s="102">
        <f>IF(A21 = "", Fin, IF(A21&gt;DATE(YEAR(A21),3,20),IF(A21&lt;DATE(YEAR(A21),12,21),7 / 24,6 / 24),6 /24))</f>
        <v>0.25</v>
      </c>
      <c r="H28" s="97"/>
    </row>
    <row r="29" spans="1:8" ht="17.25" customHeight="1" thickBot="1">
      <c r="A29" s="76">
        <f>IF(A9= "", Fin, IF(A9&gt;DATE(YEAR(A9),3,20),IF(A9&lt;DATE(YEAR(A9),12,21),7 / 24,6 / 24),6 /24))</f>
        <v>0.25</v>
      </c>
      <c r="B29" s="101">
        <f>COUNTIF(E5,"&lt;&gt;0" )+COUNTIF(E8,"&lt;&gt;0")+COUNTIF(E11,"&lt;&gt;0")+COUNTIF(E14,"&lt;&gt;0")+COUNTIF(E17,"&lt;&gt;0")+COUNTIF(E20,"&lt;&gt;0")+COUNTIF(E23,"&lt;&gt;0")</f>
        <v>0</v>
      </c>
      <c r="C29" s="137" t="s">
        <v>37</v>
      </c>
      <c r="D29" s="126" t="s">
        <v>39</v>
      </c>
      <c r="E29" s="94">
        <f>IF(B29&gt;=5,IF(E26=0/24,0/24,IF(E26&lt;35/24,35/24,E26)),E26)</f>
        <v>0</v>
      </c>
      <c r="F29" s="96"/>
      <c r="G29" s="99"/>
      <c r="H29" s="100"/>
    </row>
    <row r="30" spans="1:8" ht="17.25" customHeight="1">
      <c r="A30" s="76">
        <f>IF(A12 = "", Fin, IF(A12&gt;DATE(YEAR(A12),3,20),IF(A12&lt;DATE(YEAR(A12),12,21),7 / 24,6 / 24),6 /24))</f>
        <v>0.25</v>
      </c>
      <c r="B30" s="178" t="s">
        <v>57</v>
      </c>
      <c r="C30" s="115"/>
      <c r="D30" s="116" t="s">
        <v>32</v>
      </c>
      <c r="E30" s="127">
        <f>IF(E26&gt;35 / 24,35 / 24,E26)</f>
        <v>0</v>
      </c>
      <c r="F30" s="95"/>
      <c r="G30" s="183" t="s">
        <v>31</v>
      </c>
      <c r="H30" s="184"/>
    </row>
    <row r="31" spans="1:8" s="3" customFormat="1" ht="17.25" customHeight="1">
      <c r="A31" s="138">
        <f>IF(A15 = "", Fin, IF(A15&gt;DATE(YEAR(A15),3,20),IF(A15&lt;DATE(YEAR(A15),12,21),7 / 24,6 / 24),6 /24))</f>
        <v>0.25</v>
      </c>
      <c r="B31" s="179" t="s">
        <v>58</v>
      </c>
      <c r="C31" s="117" t="s">
        <v>33</v>
      </c>
      <c r="D31" s="118" t="s">
        <v>34</v>
      </c>
      <c r="E31" s="128">
        <f>IF(E26&gt;35 / 24,IF(E26&lt;43 / 24,E26-35 / 24,8 / 24),0 / 24)</f>
        <v>0</v>
      </c>
      <c r="F31" s="95"/>
      <c r="G31" s="181" t="s">
        <v>12</v>
      </c>
      <c r="H31" s="182"/>
    </row>
    <row r="32" spans="1:8" s="3" customFormat="1" ht="17.25" customHeight="1" thickBot="1">
      <c r="A32" s="138">
        <f>IF(A18 = "", Fin, IF(A18&gt;DATE(YEAR(A18),3,20),IF(A18&lt;DATE(YEAR(A18),12,21),7 / 24,6 / 24),6 /24))</f>
        <v>0.25</v>
      </c>
      <c r="B32" s="180">
        <v>1.3888888888888888E-2</v>
      </c>
      <c r="C32" s="119" t="s">
        <v>38</v>
      </c>
      <c r="D32" s="120" t="s">
        <v>35</v>
      </c>
      <c r="E32" s="129">
        <f>IF(E26&gt;43 / 24,E26- 43 / 24,0 /24)</f>
        <v>0</v>
      </c>
      <c r="F32" s="95"/>
      <c r="G32" s="71"/>
      <c r="H32" s="98"/>
    </row>
    <row r="33" spans="1:8" s="3" customFormat="1" ht="17.25" customHeight="1">
      <c r="A33" s="138">
        <f>IF(A21 = "", Fin, IF(A21&gt;DATE(YEAR(A21),3,20),IF(A21&lt;DATE(YEAR(A21),12,21),7 / 24,6 / 24),6 /24))</f>
        <v>0.25</v>
      </c>
      <c r="B33" s="140" t="s">
        <v>10</v>
      </c>
      <c r="C33" s="156"/>
      <c r="D33" s="157" t="s">
        <v>40</v>
      </c>
      <c r="E33" s="158">
        <f>F26</f>
        <v>0</v>
      </c>
      <c r="F33" s="95"/>
      <c r="G33" s="111"/>
      <c r="H33" s="110"/>
    </row>
    <row r="34" spans="1:8" s="3" customFormat="1" ht="17.25" customHeight="1">
      <c r="A34" s="139">
        <f>IF(A24 = "", Fin, IF(A24&gt;DATE(YEAR(A24),3,20),IF(A24&lt;DATE(YEAR(A24),12,21),7 / 24,6 / 24),6 /24))</f>
        <v>0.25</v>
      </c>
      <c r="B34" s="141">
        <f>IF(D2&gt;DATE(YEAR(D2),3,20),IF(D2&lt;DATE(YEAR(D2),12,21),22/24,20/24),20/24)</f>
        <v>0.83333333333333337</v>
      </c>
      <c r="C34" s="122"/>
      <c r="D34" s="123" t="s">
        <v>41</v>
      </c>
      <c r="E34" s="130">
        <f>G26</f>
        <v>0</v>
      </c>
      <c r="F34" s="95"/>
      <c r="G34" s="111"/>
      <c r="H34" s="110"/>
    </row>
    <row r="35" spans="1:8" s="3" customFormat="1" ht="17.25" customHeight="1">
      <c r="A35" s="112"/>
      <c r="B35" s="142" t="s">
        <v>11</v>
      </c>
      <c r="C35" s="124"/>
      <c r="D35" s="164" t="s">
        <v>36</v>
      </c>
      <c r="E35" s="168">
        <f>H26</f>
        <v>0</v>
      </c>
      <c r="F35" s="113"/>
      <c r="G35" s="113"/>
      <c r="H35" s="114"/>
    </row>
    <row r="36" spans="1:8" s="3" customFormat="1" ht="17.25" customHeight="1" thickBot="1">
      <c r="A36" s="112"/>
      <c r="B36" s="143">
        <f>IF(D2&gt;DATE(YEAR(D2),3,20),IF(D2&lt;DATE(YEAR(D2),12,21),7 / 24,6 / 24),6 /24)</f>
        <v>0.25</v>
      </c>
      <c r="C36" s="122"/>
      <c r="D36" s="165" t="s">
        <v>43</v>
      </c>
      <c r="E36" s="169">
        <v>0</v>
      </c>
      <c r="F36" s="113"/>
      <c r="G36" s="113"/>
      <c r="H36" s="114"/>
    </row>
    <row r="37" spans="1:8" s="3" customFormat="1" ht="17.25" customHeight="1">
      <c r="A37" s="112"/>
      <c r="C37" s="121"/>
      <c r="D37" s="166" t="s">
        <v>42</v>
      </c>
      <c r="E37" s="170">
        <f>IF(B7&lt;&gt;"",E5,IF(B10&lt;&gt;"",E8,IF(B13&lt;&gt;"",E11,IF(B16&lt;&gt;"",E14,IF(B19&lt;&gt;"",E17,IF(B22&lt;&gt;"",E20, IF(B25&lt;&gt;"",E23, 0)))))))</f>
        <v>0</v>
      </c>
      <c r="F37" s="113"/>
      <c r="G37" s="113"/>
      <c r="H37" s="114"/>
    </row>
    <row r="38" spans="1:8" s="3" customFormat="1" ht="17.25" customHeight="1" thickBot="1">
      <c r="A38" s="112"/>
      <c r="B38" s="136"/>
      <c r="C38" s="125"/>
      <c r="D38" s="167" t="str">
        <f>IF(E38&lt;=1, "JOURNEE CONTINUE", "JOURNEES CONTINUES")</f>
        <v>JOURNEE CONTINUE</v>
      </c>
      <c r="E38" s="171">
        <f>SUM(E21,E18,E15,E12,E9,E6, E24)/B32</f>
        <v>0</v>
      </c>
      <c r="F38" s="113"/>
      <c r="G38" s="113"/>
      <c r="H38" s="114"/>
    </row>
    <row r="39" spans="1:8" ht="17.25" customHeight="1">
      <c r="A39" s="112"/>
      <c r="B39" s="113"/>
      <c r="C39" s="111"/>
      <c r="D39" s="111"/>
      <c r="E39" s="111"/>
      <c r="F39" s="113"/>
      <c r="G39" s="113"/>
      <c r="H39" s="114"/>
    </row>
    <row r="40" spans="1:8">
      <c r="A40" s="131"/>
      <c r="B40" s="111"/>
      <c r="C40" s="111"/>
      <c r="D40" s="111"/>
      <c r="E40" s="111"/>
      <c r="F40" s="111"/>
      <c r="G40" s="111"/>
      <c r="H40" s="132"/>
    </row>
    <row r="41" spans="1:8">
      <c r="A41" s="133"/>
      <c r="B41" s="134"/>
      <c r="C41" s="134"/>
      <c r="D41" s="134"/>
      <c r="E41" s="134"/>
      <c r="F41" s="134"/>
      <c r="G41" s="134"/>
      <c r="H41" s="135"/>
    </row>
  </sheetData>
  <sheetProtection sheet="1" selectLockedCells="1"/>
  <mergeCells count="2">
    <mergeCell ref="G30:H30"/>
    <mergeCell ref="G31:H31"/>
  </mergeCells>
  <printOptions horizontalCentered="1"/>
  <pageMargins left="0" right="0" top="0.15748031496062992" bottom="0.15748031496062992" header="0.11811023622047244" footer="0.11811023622047244"/>
  <pageSetup paperSize="9" scale="7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46"/>
  <sheetViews>
    <sheetView zoomScale="75" zoomScaleNormal="75" workbookViewId="0">
      <selection activeCell="D21" sqref="D2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7" t="str">
        <f>'1er Ass OPV'!B1</f>
        <v>"Production"</v>
      </c>
      <c r="C1" s="64"/>
      <c r="D1" s="39" t="str">
        <f>'1er Ass OPV'!D1</f>
        <v>Semaine N°</v>
      </c>
      <c r="E1" s="18" t="s">
        <v>1</v>
      </c>
      <c r="F1" s="27" t="str">
        <f>'1er Ass OPV'!F1</f>
        <v>Caméra</v>
      </c>
      <c r="G1" s="62"/>
      <c r="H1" s="13"/>
    </row>
    <row r="2" spans="1:8" ht="20" customHeight="1">
      <c r="A2" s="19" t="s">
        <v>14</v>
      </c>
      <c r="B2" s="28" t="str">
        <f>'1er Ass OPV'!B2</f>
        <v>"Film"</v>
      </c>
      <c r="C2" s="36" t="s">
        <v>24</v>
      </c>
      <c r="D2" s="38">
        <f>'1er Ass OPV'!D2</f>
        <v>43830</v>
      </c>
      <c r="E2" s="36" t="s">
        <v>3</v>
      </c>
      <c r="F2" s="28" t="s">
        <v>22</v>
      </c>
      <c r="G2" s="61"/>
      <c r="H2" s="37"/>
    </row>
    <row r="3" spans="1:8" ht="20" customHeight="1" thickBot="1">
      <c r="A3" s="19"/>
      <c r="B3" s="61"/>
      <c r="C3" s="36" t="s">
        <v>25</v>
      </c>
      <c r="D3" s="151">
        <f>D2+DAY(5)</f>
        <v>43836</v>
      </c>
      <c r="E3" s="20"/>
      <c r="F3" s="60"/>
      <c r="G3" s="60"/>
      <c r="H3" s="14"/>
    </row>
    <row r="4" spans="1:8" s="3" customFormat="1" ht="46.5" customHeight="1">
      <c r="A4" s="7" t="s">
        <v>4</v>
      </c>
      <c r="B4" s="8" t="s">
        <v>15</v>
      </c>
      <c r="C4" s="8" t="s">
        <v>28</v>
      </c>
      <c r="D4" s="10" t="s">
        <v>5</v>
      </c>
      <c r="E4" s="8" t="s">
        <v>6</v>
      </c>
      <c r="F4" s="9" t="s">
        <v>7</v>
      </c>
      <c r="G4" s="10" t="s">
        <v>26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3">
        <f>'1er Ass OPV'!C5</f>
        <v>0</v>
      </c>
      <c r="D5" s="41">
        <f>'1er Ass OPV'!D5</f>
        <v>0</v>
      </c>
      <c r="E5" s="21">
        <f>IF(D5= " ",0/24,((MOD(D6-D5,1))-MOD(C6-C5,1)))</f>
        <v>0</v>
      </c>
      <c r="F5" s="2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21">
        <v>0</v>
      </c>
      <c r="H5" s="31">
        <f>'1er Ass OPV'!H5</f>
        <v>0</v>
      </c>
    </row>
    <row r="6" spans="1:8" ht="17.25" customHeight="1">
      <c r="A6" s="40">
        <f>D2</f>
        <v>43830</v>
      </c>
      <c r="B6" s="46" t="str">
        <f>IF(E6="", "","(journée continue)")</f>
        <v/>
      </c>
      <c r="C6" s="159">
        <f>IF(OR(AND(D5=0/24, D6=0/24,), AND(C5=0/24, D6=0/24), (MOD(D6-C5,24) =D6)), 0/24, C5+1/24)</f>
        <v>0</v>
      </c>
      <c r="D6" s="41">
        <f>'1er Ass OPV'!D6</f>
        <v>0</v>
      </c>
      <c r="E6" s="160" t="str">
        <f>IF(SUM(D7,E7)=0/24,"",SUM(D7,E7))</f>
        <v/>
      </c>
      <c r="F6" s="2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4"/>
      <c r="H6" s="152"/>
    </row>
    <row r="7" spans="1:8" ht="17.25" customHeight="1">
      <c r="A7" s="45">
        <f>IF(A6="", Deb, IF(A6&gt;DATE(YEAR(A6),3,20),IF(A6&lt;DATE(YEAR(A6),12,21),22 / 24,20 / 24),20 /24))</f>
        <v>0.83333333333333337</v>
      </c>
      <c r="B7" s="44" t="str">
        <f>IF(A6 &lt;&gt; "", IF(A5="DIMANCHE", "(majoration dimanche)", ""), "")</f>
        <v/>
      </c>
      <c r="C7" s="48">
        <f>IF(C6 = C5, (MOD(D6-D5,1)),0)</f>
        <v>0</v>
      </c>
      <c r="D7" s="42">
        <f>IF(C5=0 / 24,0,IF((MOD(C5-D5,1))&lt;6 / 24,0,B32))</f>
        <v>0</v>
      </c>
      <c r="E7" s="16">
        <f>IF(C7&gt;=(6 / 24),B32,(IF(C5 = C6, IF(MOD(D6-D5, 1) &lt;6/24, 0, B32), IF((MOD(D6-C6,1))&lt;6/24,0,B32))))</f>
        <v>0</v>
      </c>
      <c r="F7" s="6" t="str">
        <f>IF(OR(F6=" ", F6=0)," ","(minoration repas nuit)")</f>
        <v xml:space="preserve"> </v>
      </c>
      <c r="G7" s="65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49" t="str">
        <f>IF(OR(C8&lt;&gt;0, C9 &lt;&gt;0,), IF(MOD(C9-C8, 1) &lt; 0.041, "(pause réduite)", ""), "")</f>
        <v/>
      </c>
      <c r="C8" s="63">
        <f>'1er Ass OPV'!C8</f>
        <v>0</v>
      </c>
      <c r="D8" s="41">
        <f>'1er Ass OPV'!D8</f>
        <v>0</v>
      </c>
      <c r="E8" s="21">
        <f>IF(D8= " ",0/24,((MOD(D9-D8,1))-MOD(C9-C8,1)))</f>
        <v>0</v>
      </c>
      <c r="F8" s="2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21">
        <f>IF(AND(D5=0, D6=0), 0/24, (IF(D8=0/24,0/24,IF((MOD(D8-D6,1))&gt;=11/24,0/24,11/24-(MOD(D8-D6,1))))))</f>
        <v>0</v>
      </c>
      <c r="H8" s="31">
        <f>'1er Ass OPV'!H8</f>
        <v>0</v>
      </c>
    </row>
    <row r="9" spans="1:8" ht="17.25" customHeight="1">
      <c r="A9" s="40">
        <f>IF(AND(DATE(YEAR(D2),MONTH(D2),DAY(D2))&lt;DATE(YEAR(D3),MONTH(D3),DAY(D3)), A6&lt;&gt;""),DATE(YEAR(D2),MONTH(D2),DAY(D2)+1),"")</f>
        <v>43831</v>
      </c>
      <c r="B9" s="5" t="str">
        <f>IF(E9="", "","(journée continue)")</f>
        <v/>
      </c>
      <c r="C9" s="159">
        <f>IF(OR(AND(D8=0/24, D9=0/24,), AND(C8=0/24, D9=0/24), (MOD(D9-C8,24) =D9)), 0/24, C8+1/24)</f>
        <v>0</v>
      </c>
      <c r="D9" s="41">
        <f>'1er Ass OPV'!D9</f>
        <v>0</v>
      </c>
      <c r="E9" s="160" t="str">
        <f>IF(SUM(D10,E10)=0/24,"",SUM(D10,E10))</f>
        <v/>
      </c>
      <c r="F9" s="2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4"/>
      <c r="H9" s="153"/>
    </row>
    <row r="10" spans="1:8" ht="17.25" customHeight="1">
      <c r="A10" s="45">
        <f>IF(A9="", Deb, IF(A9&gt;DATE(YEAR(A9),3,20),IF(A9&lt;DATE(YEAR(A9),12,21),22 / 24,20 / 24),20 /24))</f>
        <v>0.83333333333333337</v>
      </c>
      <c r="B10" s="44" t="str">
        <f>IF(A9 &lt;&gt; "", IF(A8="DIMANCHE", "(majoration dimanche)", ""), "")</f>
        <v/>
      </c>
      <c r="C10" s="48">
        <f>IF(C9 = C8, (MOD(D9-D8,1)),0)</f>
        <v>0</v>
      </c>
      <c r="D10" s="42">
        <f>IF(C8=0 / 24,0,IF((MOD(C8-D8,1))&lt;6 / 24,0,B32))</f>
        <v>0</v>
      </c>
      <c r="E10" s="48">
        <f>IF(C10&gt;=(6 / 24),B32,(IF(C8 = C9, IF(MOD(D9-D8, 1) &lt;6 /24, 0, B32), IF((MOD(D9-C9,1))&lt;6/24,0,B32))))</f>
        <v>0</v>
      </c>
      <c r="F10" s="6" t="str">
        <f>IF(F9=" "," ","(minoration repas nuit)")</f>
        <v xml:space="preserve"> </v>
      </c>
      <c r="G10" s="65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49" t="str">
        <f>IF(OR(C11&lt;&gt;0, C12 &lt;&gt;0,), IF(MOD(C12-C11, 1) &lt; 0.041, "(pause réduite)", ""), "")</f>
        <v/>
      </c>
      <c r="C11" s="63">
        <f>'1er Ass OPV'!C11</f>
        <v>0</v>
      </c>
      <c r="D11" s="41">
        <f>'1er Ass OPV'!D11</f>
        <v>0</v>
      </c>
      <c r="E11" s="21">
        <f>IF(D11= " ",0/24,((MOD(D12-D11,1))-MOD(C12-C11,1)))</f>
        <v>0</v>
      </c>
      <c r="F11" s="2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1">
        <f>'1er Ass OPV'!H11</f>
        <v>0</v>
      </c>
    </row>
    <row r="12" spans="1:8" ht="17.25" customHeight="1">
      <c r="A12" s="40">
        <f>IF(AND(DATE(YEAR(A9),MONTH(A9),DAY(A9))&lt;DATE(YEAR(D3),MONTH(D3),DAY(D3)), A9&lt;&gt;""),DATE(YEAR(D2),MONTH(D2),DAY(D2)+2), "")</f>
        <v>43832</v>
      </c>
      <c r="B12" s="5" t="str">
        <f>IF(E12="", "","(journée continue)")</f>
        <v/>
      </c>
      <c r="C12" s="159">
        <f>IF(OR(AND(D11=0/24, D12=0/24,), AND(C11=0/24, D12=0/24), (MOD(D12-C11,24) =D12)), 0/24, C11+1/24)</f>
        <v>0</v>
      </c>
      <c r="D12" s="43">
        <f>'1er Ass OPV'!D12</f>
        <v>0</v>
      </c>
      <c r="E12" s="160" t="str">
        <f>IF(SUM(D13,E13)=0/24,"",SUM(D13,E13))</f>
        <v/>
      </c>
      <c r="F12" s="2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"/>
      <c r="H12" s="154"/>
    </row>
    <row r="13" spans="1:8" ht="17.25" customHeight="1">
      <c r="A13" s="45">
        <f>IF(A12="", Deb, IF(A12&gt;DATE(YEAR(A12),3,20),IF(A12&lt;DATE(YEAR(A12),12,21),22 / 24,20 / 24),20 /24))</f>
        <v>0.83333333333333337</v>
      </c>
      <c r="B13" s="6" t="str">
        <f>IF(A12 &lt;&gt; "", IF(A11="DIMANCHE", "(majoration dimanche)", ""), "")</f>
        <v/>
      </c>
      <c r="C13" s="48">
        <f>IF(C12 = C11, (MOD(D12-D11,1)),0)</f>
        <v>0</v>
      </c>
      <c r="D13" s="42">
        <f>IF(C11=0 / 24,0,IF((MOD(C11-D11,1))&lt;6 / 24,0, B32))</f>
        <v>0</v>
      </c>
      <c r="E13" s="16">
        <f>IF(C13&gt;=(6 / 24),B32,(IF(C11 = C12, IF(MOD(D12-D11, 1) &lt;6/24, 0, B32), IF((MOD(D12-C12,1))&lt;6/24,0,B32))))</f>
        <v>0</v>
      </c>
      <c r="F13" s="6" t="str">
        <f>IF(F12=" "," ","(minoration repas nuit)")</f>
        <v xml:space="preserve"> </v>
      </c>
      <c r="G13" s="66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49" t="str">
        <f>IF(OR(C14&lt;&gt;0, C15 &lt;&gt;0,), IF(MOD(C15-C14, 1) &lt; 0.041, "(pause réduite)", ""), "")</f>
        <v/>
      </c>
      <c r="C14" s="63">
        <f>'1er Ass OPV'!C14</f>
        <v>0</v>
      </c>
      <c r="D14" s="41">
        <f>'1er Ass OPV'!D14</f>
        <v>0</v>
      </c>
      <c r="E14" s="21">
        <f>IF(D14= " ",0/24,((MOD(D15-D14,1))-MOD(C15-C14,1)))</f>
        <v>0</v>
      </c>
      <c r="F14" s="2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1">
        <f>'1er Ass OPV'!H14</f>
        <v>0</v>
      </c>
    </row>
    <row r="15" spans="1:8" ht="17.25" customHeight="1">
      <c r="A15" s="40">
        <f>IF(A12&lt;&gt; "", (IF(DATE(YEAR(A12),MONTH(A12),DAY(A12))&lt;DATE(YEAR(D3),MONTH(D3),DAY(D3)),DATE(YEAR(D2),MONTH(D2),(DAY(D2)+3)), "")), "")</f>
        <v>43833</v>
      </c>
      <c r="B15" s="5" t="str">
        <f>IF(E15="", "","(journée continue)")</f>
        <v/>
      </c>
      <c r="C15" s="159">
        <f>IF(OR(AND(D14=0/24, D15=0/24,), AND(C14=0/24, D15=0/24), (MOD(D15-C14,24) =D15)), 0/24, C14+1/24)</f>
        <v>0</v>
      </c>
      <c r="D15" s="41">
        <f>'1er Ass OPV'!D15</f>
        <v>0</v>
      </c>
      <c r="E15" s="160" t="str">
        <f>IF(SUM(D16,E16)=0/24,"",SUM(D16,E16))</f>
        <v/>
      </c>
      <c r="F15" s="2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4"/>
      <c r="H15" s="153"/>
    </row>
    <row r="16" spans="1:8" ht="17.25" customHeight="1">
      <c r="A16" s="45">
        <f>IF(A15="", Deb, IF(A15&gt;DATE(YEAR(A15),3,20),IF(A15&lt;DATE(YEAR(A15),12,21),22 / 24,20 / 24),20 /24))</f>
        <v>0.83333333333333337</v>
      </c>
      <c r="B16" s="6" t="str">
        <f>IF(A15 &lt;&gt; "", IF(A14="DIMANCHE", "(majoration dimanche)", ""), "")</f>
        <v/>
      </c>
      <c r="C16" s="48">
        <f>IF(C14 = C15, (MOD(D15-D14,1)),0)</f>
        <v>0</v>
      </c>
      <c r="D16" s="42">
        <f>IF(C14=0 / 24,0,IF((MOD(C14-D14,1))&lt;6 / 24,0,B32))</f>
        <v>0</v>
      </c>
      <c r="E16" s="16">
        <f>IF(C16&gt;=(6 / 24),B32,(IF(C15 = C14, IF(MOD(D15-D14, 1) &lt;6/24, 0, B32), IF((MOD(D15-C15,1))&lt;6/24,0,B32))))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49" t="str">
        <f>IF(OR(C17&lt;&gt;0, C18 &lt;&gt;0,), IF(MOD(C18-C17, 1) &lt; 0.041, "(pause réduite)", ""), "")</f>
        <v/>
      </c>
      <c r="C17" s="63">
        <f>'1er Ass OPV'!C17</f>
        <v>0</v>
      </c>
      <c r="D17" s="41">
        <f>'1er Ass OPV'!D17</f>
        <v>0</v>
      </c>
      <c r="E17" s="21">
        <f>IF(D17=" ",0/24,((MOD(D18-D17,1))-MOD(C18-C17,1)))</f>
        <v>0</v>
      </c>
      <c r="F17" s="2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1">
        <f>'1er Ass OPV'!H17</f>
        <v>0</v>
      </c>
    </row>
    <row r="18" spans="1:8" ht="17.25" customHeight="1">
      <c r="A18" s="40">
        <f>IF(A15&lt;&gt; "", (IF(DATE(YEAR(A15),MONTH(A15),DAY(A15))&lt;DATE(YEAR(D3),MONTH(D3),DAY(D3)),DATE(YEAR(D2),MONTH(D2),(DAY(D2)+4)), "")), "")</f>
        <v>43834</v>
      </c>
      <c r="B18" s="5" t="str">
        <f>IF(E18="", "","(journée continue)")</f>
        <v/>
      </c>
      <c r="C18" s="159">
        <f>IF(OR(AND(D17=0/24, D18=0/24,), AND(C17=0/24, D18=0/24), (MOD(D18-C17,24) =D18)), 0/24, C17+1/24)</f>
        <v>0</v>
      </c>
      <c r="D18" s="41">
        <f>'1er Ass OPV'!D18</f>
        <v>0</v>
      </c>
      <c r="E18" s="160" t="str">
        <f>IF(SUM(D19,E19)=0/24,"",SUM(D19,E19))</f>
        <v/>
      </c>
      <c r="F18" s="2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4"/>
      <c r="H18" s="153"/>
    </row>
    <row r="19" spans="1:8" ht="17.25" customHeight="1">
      <c r="A19" s="45">
        <f>IF(A18="", Deb, IF(A18&gt;DATE(YEAR(A18),3,20),IF(A18&lt;DATE(YEAR(A18),12,21),22 / 24,20 / 24),20 /24))</f>
        <v>0.83333333333333337</v>
      </c>
      <c r="B19" s="6" t="str">
        <f>IF(A18 &lt;&gt; "", IF(A17="DIMANCHE", "(majoration dimanche)", ""), "")</f>
        <v/>
      </c>
      <c r="C19" s="48">
        <f>IF(C17 = C18, (MOD(D18-D17,1)),0)</f>
        <v>0</v>
      </c>
      <c r="D19" s="42">
        <f>IF(C17=0 / 24,0,IF((MOD(C17-D17,1))&lt;6 / 24,0,B32))</f>
        <v>0</v>
      </c>
      <c r="E19" s="16">
        <f>IF(C19&gt;=(6 / 24),B32,(IF(C17 = C18, IF(MOD(D18-D17, 1) &lt;6/24, 0, B32), IF((MOD(D18-C18,1))&lt;6/24,0,B32))))</f>
        <v>0</v>
      </c>
      <c r="F19" s="6" t="str">
        <f>IF(F18=" "," ","(minoration repas nuit)")</f>
        <v xml:space="preserve"> </v>
      </c>
      <c r="G19" s="47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49" t="str">
        <f>IF(OR(C20&lt;&gt;0, C21 &lt;&gt;0,), IF(MOD(C21-C20, 1) &lt; 0.041, "(pause réduite)", ""), "")</f>
        <v/>
      </c>
      <c r="C20" s="63">
        <f>'1er Ass OPV'!C20</f>
        <v>0</v>
      </c>
      <c r="D20" s="41">
        <f>'1er Ass OPV'!D20</f>
        <v>0</v>
      </c>
      <c r="E20" s="21">
        <f>IF(D20= " ",0/24,((MOD(D21-D20,1))-MOD(C21-C20,1)))</f>
        <v>0</v>
      </c>
      <c r="F20" s="2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1">
        <f>'1er Ass OPV'!H20</f>
        <v>0</v>
      </c>
    </row>
    <row r="21" spans="1:8" ht="17.25" customHeight="1">
      <c r="A21" s="40">
        <f>IF(A18&lt;&gt; "", (IF(DATE(YEAR(A18),MONTH(A18),DAY(A18))&lt;DATE(YEAR(D3),MONTH(D3),DAY(D3)),DATE(YEAR(D2),MONTH(D2),(DAY(D2)+5)), "")), "")</f>
        <v>43835</v>
      </c>
      <c r="B21" s="5" t="str">
        <f>IF(E21="", "","(journée continue)")</f>
        <v/>
      </c>
      <c r="C21" s="159">
        <f>IF(OR(AND(D20=0/24, D21=0/24,), AND(C20=0/24, D21=0/24), (MOD(D21-C20,24) =D21)), 0/24, C20+1/24)</f>
        <v>0</v>
      </c>
      <c r="D21" s="41">
        <f>'1er Ass OPV'!D21</f>
        <v>0</v>
      </c>
      <c r="E21" s="160" t="str">
        <f>IF(SUM(D22,E22)=0/24,"",SUM(D22,E22))</f>
        <v/>
      </c>
      <c r="F21" s="2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4"/>
      <c r="H21" s="155"/>
    </row>
    <row r="22" spans="1:8" ht="17.25" customHeight="1">
      <c r="A22" s="45">
        <f>IF(A21="", Deb, IF(A21&gt;DATE(YEAR(A21),3,20),IF(A21&lt;DATE(YEAR(A21),12,21),22 / 24,20 / 24),20 /24))</f>
        <v>0.83333333333333337</v>
      </c>
      <c r="B22" s="6" t="str">
        <f>IF(A21&lt;&gt;"",IF(A20="DIMANCHE","(majoration dimanche)",""), "")</f>
        <v/>
      </c>
      <c r="C22" s="48">
        <f>IF(C20 = C21, (MOD(D21-D20,1)),0)</f>
        <v>0</v>
      </c>
      <c r="D22" s="42">
        <f>IF(C20=0 / 24,0,IF((MOD(C20-D20,1))&lt;6 / 24,0,B32))</f>
        <v>0</v>
      </c>
      <c r="E22" s="16">
        <f>IF(C22&gt;=(6 / 24),B32,(IF(C21 = C20, IF(MOD(D21-D20, 1) &lt;6/24, 0, B32), IF((MOD(D21-C21,1))&lt;6/24,0,B32))))</f>
        <v>0</v>
      </c>
      <c r="F22" s="6" t="str">
        <f>IF(F21=" "," ","(minoration repas nuit)")</f>
        <v xml:space="preserve"> </v>
      </c>
      <c r="G22" s="16"/>
      <c r="H22" s="15">
        <f>IF((E20)&lt;12/24,0/24,(E20)-12/24)</f>
        <v>0</v>
      </c>
    </row>
    <row r="23" spans="1:8" ht="17.25" customHeight="1">
      <c r="A23" s="12" t="str">
        <f>CHOOSE(WEEKDAY(A9+5,2),"LUNDI","MARDI","MERCREDI","JEUDI","VENDREDI","SAMEDI","DIMANCHE")</f>
        <v>DIMANCHE</v>
      </c>
      <c r="B23" s="49" t="str">
        <f>IF(OR(C23&lt;&gt;0, C24 &lt;&gt;0,), IF(MOD(C24-C23, 1) &lt; 0.041, "(pause réduite)", ""), "")</f>
        <v/>
      </c>
      <c r="C23" s="63">
        <f>'1er Ass OPV'!C23</f>
        <v>0</v>
      </c>
      <c r="D23" s="41">
        <f>'1er Ass OPV'!D23</f>
        <v>0</v>
      </c>
      <c r="E23" s="21">
        <f>IF(D23= " ",0/24,((MOD(D24-D23,1))-MOD(C24-C23,1)))</f>
        <v>0</v>
      </c>
      <c r="F23" s="2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21">
        <f>IF(AND(D20=0, D21=0),0/24, (IF(D23=0/24,0/24,IF((MOD(D23-D21,1))&gt;=11/24,0/24, 11/24-(MOD(D23-D21,1))))))</f>
        <v>0</v>
      </c>
      <c r="H23" s="31">
        <f>'1er Ass OPV'!H23</f>
        <v>0</v>
      </c>
    </row>
    <row r="24" spans="1:8" s="3" customFormat="1" ht="16.75" customHeight="1">
      <c r="A24" s="40">
        <f>IF(A21&lt;&gt; "", (IF(DATE(YEAR(A21),MONTH(A21),DAY(A21))&lt;DATE(YEAR(D3),MONTH(D3),DAY(D3)),DATE(YEAR(D2),MONTH(D2),(DAY(D2)+6)), "")), "")</f>
        <v>43836</v>
      </c>
      <c r="B24" s="5" t="str">
        <f>IF(E24="", "","(journée continue)")</f>
        <v/>
      </c>
      <c r="C24" s="159">
        <f>IF(OR(AND(D23=0/24, D24=0/24,), AND(C23=0/24, D24=0/24), (MOD(D24-C23,24) =D24)), 0/24, C23+1/24)</f>
        <v>0</v>
      </c>
      <c r="D24" s="41">
        <f>'1er Ass OPV'!D24</f>
        <v>0</v>
      </c>
      <c r="E24" s="160" t="str">
        <f>IF(SUM(D25,E25)=0/24,"",SUM(D25,E25))</f>
        <v/>
      </c>
      <c r="F24" s="2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4"/>
      <c r="H24" s="155"/>
    </row>
    <row r="25" spans="1:8" ht="17.25" customHeight="1">
      <c r="A25" s="45">
        <f>IF(A24="", Deb, IF(A24&gt;DATE(YEAR(A24),3,20),IF(A24&lt;DATE(YEAR(A24),12,21),22 / 24,20 / 24),20 /24))</f>
        <v>0.83333333333333337</v>
      </c>
      <c r="B25" s="6" t="str">
        <f>IF(A24&lt;&gt;"",IF(A23="DIMANCHE",IF(E23 &gt; 0/24, "(majoration dimanche)", ""),""),"")</f>
        <v/>
      </c>
      <c r="C25" s="48">
        <f>IF(C23 = C24, (MOD(D24-D23,1)),0)</f>
        <v>0</v>
      </c>
      <c r="D25" s="42">
        <f>IF(C23=0 / 24,0,IF((MOD(C23-D23,1))&lt;6 / 24,0,B32))</f>
        <v>0</v>
      </c>
      <c r="E25" s="16">
        <f>IF(C25&gt;=(6 / 24),B32,(IF(C24 = C23, IF(MOD(D24-D23, 1) &lt;6/24, 0, B32), IF((MOD(D24-C24,1))&lt;6/24,0,B32))))</f>
        <v>0</v>
      </c>
      <c r="F25" s="6" t="str">
        <f>IF(F24=" "," ","(minoration repas nuit)")</f>
        <v xml:space="preserve"> </v>
      </c>
      <c r="G25" s="16">
        <f>SUM(H25+H22+H19+H16+H13+H10+H7)</f>
        <v>0</v>
      </c>
      <c r="H25" s="15">
        <f>IF((E23)&lt;12/24,0/24,(E23)-12/24)</f>
        <v>0</v>
      </c>
    </row>
    <row r="26" spans="1:8" ht="17.25" customHeight="1" thickBot="1">
      <c r="A26" s="103"/>
      <c r="B26" s="104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ht="13.75" customHeight="1">
      <c r="A27" s="67"/>
      <c r="B27" s="68"/>
      <c r="C27" s="68"/>
      <c r="D27" s="68"/>
      <c r="E27" s="69"/>
      <c r="F27" s="69"/>
      <c r="G27" s="69"/>
      <c r="H27" s="70"/>
    </row>
    <row r="28" spans="1:8" s="3" customFormat="1" ht="13.75" customHeight="1" thickBot="1">
      <c r="A28" s="76">
        <f>IF(A6 = "", Fin, IF(A6&gt;DATE(YEAR(A6),3,20),IF(A6&lt;DATE(YEAR(A6),12,21),7 / 24,6 / 24),6 /24))</f>
        <v>0.25</v>
      </c>
      <c r="B28" s="101">
        <f>IF(A6 = "", Fin, IF(A6&gt;DATE(YEAR(A6),3,20),IF(A6&lt;DATE(YEAR(A6),12,21),7 / 24,6 / 24),6 /24))</f>
        <v>0.25</v>
      </c>
      <c r="C28" s="111"/>
      <c r="D28" s="111"/>
      <c r="E28" s="111"/>
      <c r="F28" s="101">
        <f>IF(A18 = "", Fin, IF(A18&gt;DATE(YEAR(A18),3,20),IF(A18&lt;DATE(YEAR(A18),12,21),7 / 24,6 / 24),6 /24))</f>
        <v>0.25</v>
      </c>
      <c r="G28" s="102">
        <f>IF(A21 = "", Fin, IF(A21&gt;DATE(YEAR(A21),3,20),IF(A21&lt;DATE(YEAR(A21),12,21),7 / 24,6 / 24),6 /24))</f>
        <v>0.25</v>
      </c>
      <c r="H28" s="97"/>
    </row>
    <row r="29" spans="1:8" s="3" customFormat="1" ht="17.25" customHeight="1" thickBot="1">
      <c r="A29" s="76">
        <f>IF(A9= "", Fin, IF(A9&gt;DATE(YEAR(A9),3,20),IF(A9&lt;DATE(YEAR(A9),12,21),7 / 24,6 / 24),6 /24))</f>
        <v>0.25</v>
      </c>
      <c r="B29" s="101">
        <f>COUNTIF(E5,"&lt;&gt;0" )+COUNTIF(E8,"&lt;&gt;0")+COUNTIF(E11,"&lt;&gt;0")+COUNTIF(E14,"&lt;&gt;0")+COUNTIF(E17,"&lt;&gt;0")+COUNTIF(E20,"&lt;&gt;0")+COUNTIF(E23,"&lt;&gt;0")</f>
        <v>0</v>
      </c>
      <c r="C29" s="137" t="s">
        <v>37</v>
      </c>
      <c r="D29" s="126" t="s">
        <v>39</v>
      </c>
      <c r="E29" s="94">
        <f>IF(B29&gt;=5,IF(E26=0/24,0/24,IF(E26&lt;35/24,35/24,E26)),E26)</f>
        <v>0</v>
      </c>
      <c r="F29" s="96"/>
      <c r="G29" s="99"/>
      <c r="H29" s="100"/>
    </row>
    <row r="30" spans="1:8" s="3" customFormat="1" ht="17.25" customHeight="1">
      <c r="A30" s="76">
        <f>IF(A12 = "", Fin, IF(A12&gt;DATE(YEAR(A12),3,20),IF(A12&lt;DATE(YEAR(A12),12,21),7 / 24,6 / 24),6 /24))</f>
        <v>0.25</v>
      </c>
      <c r="B30" s="178" t="s">
        <v>57</v>
      </c>
      <c r="C30" s="115"/>
      <c r="D30" s="116" t="s">
        <v>32</v>
      </c>
      <c r="E30" s="127">
        <f>IF(E26&gt;35 / 24,35 / 24,E26)</f>
        <v>0</v>
      </c>
      <c r="F30" s="95"/>
      <c r="G30" s="183" t="s">
        <v>31</v>
      </c>
      <c r="H30" s="184"/>
    </row>
    <row r="31" spans="1:8" s="3" customFormat="1" ht="17.25" customHeight="1">
      <c r="A31" s="138">
        <f>IF(A15 = "", Fin, IF(A15&gt;DATE(YEAR(A15),3,20),IF(A15&lt;DATE(YEAR(A15),12,21),7 / 24,6 / 24),6 /24))</f>
        <v>0.25</v>
      </c>
      <c r="B31" s="179" t="s">
        <v>58</v>
      </c>
      <c r="C31" s="117" t="s">
        <v>33</v>
      </c>
      <c r="D31" s="118" t="s">
        <v>34</v>
      </c>
      <c r="E31" s="128">
        <f>IF(E26&gt;35 / 24,IF(E26&lt;43 / 24,E26-35 / 24,8 / 24),0 / 24)</f>
        <v>0</v>
      </c>
      <c r="F31" s="95"/>
      <c r="G31" s="181" t="s">
        <v>12</v>
      </c>
      <c r="H31" s="182"/>
    </row>
    <row r="32" spans="1:8" s="3" customFormat="1" ht="17.25" customHeight="1" thickBot="1">
      <c r="A32" s="138">
        <f>IF(A18 = "", Fin, IF(A18&gt;DATE(YEAR(A18),3,20),IF(A18&lt;DATE(YEAR(A18),12,21),7 / 24,6 / 24),6 /24))</f>
        <v>0.25</v>
      </c>
      <c r="B32" s="180">
        <v>1.3888888888888888E-2</v>
      </c>
      <c r="C32" s="119" t="s">
        <v>38</v>
      </c>
      <c r="D32" s="120" t="s">
        <v>35</v>
      </c>
      <c r="E32" s="129">
        <f>IF(E26&gt;43 / 24,E26- 43 / 24,0 /24)</f>
        <v>0</v>
      </c>
      <c r="F32" s="95"/>
      <c r="G32" s="71"/>
      <c r="H32" s="98"/>
    </row>
    <row r="33" spans="1:8" s="3" customFormat="1" ht="17.25" customHeight="1">
      <c r="A33" s="138">
        <f>IF(A21 = "", Fin, IF(A21&gt;DATE(YEAR(A21),3,20),IF(A21&lt;DATE(YEAR(A21),12,21),7 / 24,6 / 24),6 /24))</f>
        <v>0.25</v>
      </c>
      <c r="B33" s="140" t="s">
        <v>10</v>
      </c>
      <c r="C33" s="156"/>
      <c r="D33" s="157" t="s">
        <v>40</v>
      </c>
      <c r="E33" s="158">
        <f>F26</f>
        <v>0</v>
      </c>
      <c r="F33" s="95"/>
      <c r="G33" s="111"/>
      <c r="H33" s="110"/>
    </row>
    <row r="34" spans="1:8" s="3" customFormat="1" ht="17.25" customHeight="1">
      <c r="A34" s="139">
        <f>IF(A24 = "", Fin, IF(A24&gt;DATE(YEAR(A24),3,20),IF(A24&lt;DATE(YEAR(A24),12,21),7 / 24,6 / 24),6 /24))</f>
        <v>0.25</v>
      </c>
      <c r="B34" s="141">
        <f>IF(D2&gt;DATE(YEAR(D2),3,20),IF(D2&lt;DATE(YEAR(D2),12,21),22/24,20/24),20/24)</f>
        <v>0.83333333333333337</v>
      </c>
      <c r="C34" s="122"/>
      <c r="D34" s="123" t="s">
        <v>41</v>
      </c>
      <c r="E34" s="130">
        <f>G26</f>
        <v>0</v>
      </c>
      <c r="F34" s="95"/>
      <c r="G34" s="111"/>
      <c r="H34" s="110"/>
    </row>
    <row r="35" spans="1:8" s="3" customFormat="1" ht="17.25" customHeight="1">
      <c r="A35" s="112"/>
      <c r="B35" s="142" t="s">
        <v>11</v>
      </c>
      <c r="C35" s="124"/>
      <c r="D35" s="164" t="s">
        <v>36</v>
      </c>
      <c r="E35" s="168">
        <f>H26</f>
        <v>0</v>
      </c>
      <c r="F35" s="113"/>
      <c r="G35" s="113"/>
      <c r="H35" s="114"/>
    </row>
    <row r="36" spans="1:8" s="3" customFormat="1" ht="17.25" customHeight="1" thickBot="1">
      <c r="A36" s="112"/>
      <c r="B36" s="143">
        <f>IF(D2&gt;DATE(YEAR(D2),3,20),IF(D2&lt;DATE(YEAR(D2),12,21),7 / 24,6 / 24),6 /24)</f>
        <v>0.25</v>
      </c>
      <c r="C36" s="122"/>
      <c r="D36" s="165" t="s">
        <v>43</v>
      </c>
      <c r="E36" s="169">
        <v>0</v>
      </c>
      <c r="F36" s="113"/>
      <c r="G36" s="113"/>
      <c r="H36" s="114"/>
    </row>
    <row r="37" spans="1:8" ht="17.25" customHeight="1">
      <c r="A37" s="112"/>
      <c r="B37" s="3"/>
      <c r="C37" s="121"/>
      <c r="D37" s="166" t="s">
        <v>42</v>
      </c>
      <c r="E37" s="170">
        <f>IF(B7&lt;&gt;"",E5,IF(B10&lt;&gt;"",E8,IF(B13&lt;&gt;"",E11,IF(B16&lt;&gt;"",E14,IF(B19&lt;&gt;"",E17,IF(B22&lt;&gt;"",E20, IF(B25&lt;&gt;"",E23, 0)))))))</f>
        <v>0</v>
      </c>
      <c r="F37" s="113"/>
      <c r="G37" s="113"/>
      <c r="H37" s="114"/>
    </row>
    <row r="38" spans="1:8" ht="17" thickBot="1">
      <c r="A38" s="112"/>
      <c r="B38" s="136"/>
      <c r="C38" s="125"/>
      <c r="D38" s="167" t="str">
        <f>IF(E38&lt;=1, "JOURNEE CONTINUE", "JOURNEES CONTINUES")</f>
        <v>JOURNEE CONTINUE</v>
      </c>
      <c r="E38" s="171">
        <f>SUM(E21,E18,E15,E12,E9,E6, E24)/B32</f>
        <v>0</v>
      </c>
      <c r="F38" s="113"/>
      <c r="G38" s="113"/>
      <c r="H38" s="114"/>
    </row>
    <row r="39" spans="1:8">
      <c r="A39" s="112"/>
      <c r="B39" s="113"/>
      <c r="C39" s="111"/>
      <c r="D39" s="111"/>
      <c r="E39" s="111"/>
      <c r="F39" s="113"/>
      <c r="G39" s="113"/>
      <c r="H39" s="114"/>
    </row>
    <row r="40" spans="1:8">
      <c r="A40" s="131"/>
      <c r="B40" s="111"/>
      <c r="C40" s="111"/>
      <c r="D40" s="111"/>
      <c r="E40" s="111"/>
      <c r="F40" s="111"/>
      <c r="G40" s="111"/>
      <c r="H40" s="132"/>
    </row>
    <row r="41" spans="1:8">
      <c r="A41" s="133"/>
      <c r="B41" s="134"/>
      <c r="C41" s="134"/>
      <c r="D41" s="134"/>
      <c r="E41" s="134"/>
      <c r="F41" s="134"/>
      <c r="G41" s="134"/>
      <c r="H41" s="135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</sheetData>
  <sheetProtection sheet="1" selectLockedCells="1"/>
  <mergeCells count="2">
    <mergeCell ref="G30:H30"/>
    <mergeCell ref="G31:H31"/>
  </mergeCells>
  <printOptions horizontalCentered="1"/>
  <pageMargins left="0" right="0" top="0.15748031496062992" bottom="0.15748031496062992" header="0.11811023622047244" footer="0.11811023622047244"/>
  <pageSetup paperSize="9" scale="7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 OPV</vt:lpstr>
      <vt:lpstr>2nd Ass OPV</vt:lpstr>
      <vt:lpstr>Ass OPV Adj</vt:lpstr>
      <vt:lpstr>'1er Ass OPV'!Deb</vt:lpstr>
      <vt:lpstr>'2nd Ass OPV'!Deb</vt:lpstr>
      <vt:lpstr>'Ass OPV Adj'!Deb</vt:lpstr>
      <vt:lpstr>'1er Ass OPV'!Fin</vt:lpstr>
      <vt:lpstr>'2nd Ass OPV'!Fin</vt:lpstr>
      <vt:lpstr>'Ass OPV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2024-11-08T22:56:59Z</dcterms:modified>
  <cp:category/>
  <cp:contentStatus/>
</cp:coreProperties>
</file>